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otamagus Wines" sheetId="1" r:id="rId4"/>
  </sheets>
  <definedNames>
    <definedName name="_xlnm._FilterDatabase" localSheetId="0" hidden="1">'Rotamagus Wines'!$A$1:$K$398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<sst xmlns="http://schemas.openxmlformats.org/spreadsheetml/2006/main" uniqueCount="917">
  <si>
    <t>NAME</t>
  </si>
  <si>
    <t>VINTAGE</t>
  </si>
  <si>
    <t>VOL</t>
  </si>
  <si>
    <t>SELLING PRICE (EUR)</t>
  </si>
  <si>
    <t>COMMENTS</t>
  </si>
  <si>
    <t>COUNTRY</t>
  </si>
  <si>
    <t>REGION</t>
  </si>
  <si>
    <t>APPELATION</t>
  </si>
  <si>
    <t>PRODUCER</t>
  </si>
  <si>
    <t>URL</t>
  </si>
  <si>
    <t>PRODUCT CODE</t>
  </si>
  <si>
    <t>MARGAUX 1953</t>
  </si>
  <si>
    <t>BOUTEILLE (75CL)</t>
  </si>
  <si>
    <t>Top Shoulder, Outstanding color and condition</t>
  </si>
  <si>
    <t>FRANCE</t>
  </si>
  <si>
    <t>BORDEAUX</t>
  </si>
  <si>
    <t>MARGAUX</t>
  </si>
  <si>
    <t>MARGAUX CHATEAU</t>
  </si>
  <si>
    <t>FBORMARMACxxx1953ACATILJ001</t>
  </si>
  <si>
    <t>PALMER 1955</t>
  </si>
  <si>
    <t>Very Top Shoulder, outstanding original condition</t>
  </si>
  <si>
    <t>PALMER CHATEAU</t>
  </si>
  <si>
    <t>FBORMARPACxxx1955ARENIKO001</t>
  </si>
  <si>
    <t>PALMER 1959</t>
  </si>
  <si>
    <t>Base of Neck/VTS, outstanding original condition</t>
  </si>
  <si>
    <t>FBORMARPACxxx1959AMABIJ5001</t>
  </si>
  <si>
    <t>PALMER 1961 OWC12</t>
  </si>
  <si>
    <t>LOT</t>
  </si>
  <si>
    <t>12 x BN/VTS in OWC, ORIGINAL BOTTLING, Non Reco, RARE. Certified by Michael EGAN</t>
  </si>
  <si>
    <t>FBORMARPACxxx1961LWRLHD4001</t>
  </si>
  <si>
    <t>D'ARMAILHACQ 1916</t>
  </si>
  <si>
    <t>Base of Neck</t>
  </si>
  <si>
    <t>MEDOC</t>
  </si>
  <si>
    <t>D'ARMAILHACQ</t>
  </si>
  <si>
    <t>FBORMEDDARxxx1916AxDRIJ1001</t>
  </si>
  <si>
    <t>Top Shoulder</t>
  </si>
  <si>
    <t>FBORMEDDARxxx1916AxDRIJ1002</t>
  </si>
  <si>
    <t>LAFITE ROTHSCHILD 1902</t>
  </si>
  <si>
    <t>Base of Neck, Recond, outstanding color and condition</t>
  </si>
  <si>
    <t>PAUILLAC</t>
  </si>
  <si>
    <t>LAFITE ROTHSCHILD CHATEAU</t>
  </si>
  <si>
    <t>FBORPAULFCxxx1902ALPBIKP001</t>
  </si>
  <si>
    <t>LAFITE ROTHSCHILD 1953</t>
  </si>
  <si>
    <t>IN the neck, excellent color, 2bt of 1953 in stock</t>
  </si>
  <si>
    <t>FBORPAULFCxxx1953AxVCIKE001</t>
  </si>
  <si>
    <t>IN the neck, RECOND in 1992, excellent color, 2 bt of 1953 in stock</t>
  </si>
  <si>
    <t>FBORPAULFCxxx1953ALTVIL1001</t>
  </si>
  <si>
    <t>LAFITE ROTHSCHILD 1972</t>
  </si>
  <si>
    <t>Base of neck, outstanding color. Very slightly dirty label</t>
  </si>
  <si>
    <t>FBORPAULFCxxx1972AxCYFAU001</t>
  </si>
  <si>
    <t>LAFITE ROTHSCHILD 1982</t>
  </si>
  <si>
    <t>Base of Neck/VTS, caps cut to show fully branded cork</t>
  </si>
  <si>
    <t>FBORPAULFCxxx1982AWRHGCA001</t>
  </si>
  <si>
    <t>LATOUR 1922</t>
  </si>
  <si>
    <t>EX-CHRISTIES, mid schoulder, beautiful label</t>
  </si>
  <si>
    <t>LATOUR CHATEAU</t>
  </si>
  <si>
    <t>FBORPAULACxxx1922ACHKFKP001</t>
  </si>
  <si>
    <t>LATOUR 1947</t>
  </si>
  <si>
    <t>Very Top Schoulder, Outstanding color, cork and top capsule showing branded vintage</t>
  </si>
  <si>
    <t>FBORPAULACxxx1947AxORGID002</t>
  </si>
  <si>
    <t>LATOUR 1966</t>
  </si>
  <si>
    <t>Very Top Schoulder, excellent color and condition</t>
  </si>
  <si>
    <t>FBORPAULACxxx1966AFTHFJV001</t>
  </si>
  <si>
    <t>LATOUR 1982</t>
  </si>
  <si>
    <t>Base of Neck, outstanding color and condition</t>
  </si>
  <si>
    <t>FBORPAULACxxx1982AFTHHBM001</t>
  </si>
  <si>
    <t>LATOUR 1988</t>
  </si>
  <si>
    <t>FBORPAULACxxx1988AFTHHBM001</t>
  </si>
  <si>
    <t>LATOUR 1991</t>
  </si>
  <si>
    <t>In the Neck, outstanding color and condition</t>
  </si>
  <si>
    <t>FBORPAULACxxx1991AWCLHB9001</t>
  </si>
  <si>
    <t>LATOUR 1996</t>
  </si>
  <si>
    <t>FBORPAULACxxx1996AFTHHBM001</t>
  </si>
  <si>
    <t>LATOUR 1997</t>
  </si>
  <si>
    <t>In the Neck, outstanding color and condition (little trace on label)</t>
  </si>
  <si>
    <t>FBORPAULACxxx1997AFTHHBM001</t>
  </si>
  <si>
    <t>LYNCH BAGES 1953</t>
  </si>
  <si>
    <t>6 bottles : 1 Base of Neck, 3 Very Top Shpulder, 2 Top Shoulder. Outstanding colors and conditions. Labels very lightly dirty</t>
  </si>
  <si>
    <t>LYNCH BAGES CHATEAU</t>
  </si>
  <si>
    <t>FBORPAULYBxxx1953AMAJIK7001</t>
  </si>
  <si>
    <t>FBORPAULYBxxx1953AMAJIK7002</t>
  </si>
  <si>
    <t>FBORPAULYBxxx1953AMAJIK7003</t>
  </si>
  <si>
    <t>FBORPAULYBxxx1953AMAJIK7004</t>
  </si>
  <si>
    <t>FBORPAULYBxxx1953AMAJIK7005</t>
  </si>
  <si>
    <t>FBORPAULYBxxx1953AMAJIK7006</t>
  </si>
  <si>
    <t>MOUTON ROTHSCHILD 1928</t>
  </si>
  <si>
    <t>Very Top Shoulder, RECO in 1989, OWC</t>
  </si>
  <si>
    <t>MOUTON ROTHSCHILD CHATEAU</t>
  </si>
  <si>
    <t>FBORPAUMOCxxx1928AMAJHCT001</t>
  </si>
  <si>
    <t>MOUTON ROTHSCHILD 1934</t>
  </si>
  <si>
    <t>High Shoulder, excellent color,  Fully branded cork. label damaged</t>
  </si>
  <si>
    <t>FBORPAUMOCxxx1934AxVCIJE001</t>
  </si>
  <si>
    <t>MOUTON ROTHSCHILD 1950</t>
  </si>
  <si>
    <t>Top Shoulder, original num label, excellent color</t>
  </si>
  <si>
    <t>FBORPAUMOCxxx1950AxSTHEO001</t>
  </si>
  <si>
    <t>MOUTON ROTHSCHILD 1952</t>
  </si>
  <si>
    <t>High to Mid Shoulder, original label num, Excellent condition</t>
  </si>
  <si>
    <t>FBORPAUMOCxxx1952AOLDALV002</t>
  </si>
  <si>
    <t>Top Shoulder, original label num, Excellent condition</t>
  </si>
  <si>
    <t>FBORPAUMOCxxx1952AxSTHEO001</t>
  </si>
  <si>
    <t>MOUTON ROTHSCHILD 1957</t>
  </si>
  <si>
    <t>Base of Neck, original num label, oustanding condition, 2 bt in this condition in stock</t>
  </si>
  <si>
    <t>FBORPAUMOCxxx1957AxORALV001</t>
  </si>
  <si>
    <t>Base of Neck/VTS, original num label, Excellent condition</t>
  </si>
  <si>
    <t>FBORPAUMOCxxx1957AxORALV002</t>
  </si>
  <si>
    <t>Mid Shoulder/depigment but nice numbered label</t>
  </si>
  <si>
    <t>FBORPAUMOCxxx1957AMWMBB7001</t>
  </si>
  <si>
    <t>MOUTON ROTHSCHILD 1964</t>
  </si>
  <si>
    <t>Very Top Shoulder, original label num, Excellent condition, 6bt of 1964 in stock</t>
  </si>
  <si>
    <t>FBORPAUMOCxxx1964AxWPBEF001</t>
  </si>
  <si>
    <t>Very Top Shoulder, original label num, Excellent condition</t>
  </si>
  <si>
    <t>FBORPAUMOCxxx1964AxSTBC3001</t>
  </si>
  <si>
    <t>High to mid Shoulder, original label num, Excellent condition</t>
  </si>
  <si>
    <t>FBORPAUMOCxxx1964AxSTCC6001</t>
  </si>
  <si>
    <t>Very Top Shoulder, original label num, Oustanding condition (1)</t>
  </si>
  <si>
    <t>FBORPAUMOCxxx1964AxSTHEO001</t>
  </si>
  <si>
    <t>Base of Neck/VTS, Original numbered label. Outstanding condition.</t>
  </si>
  <si>
    <t>FBORPAUMOCxxx1964AxSTHEO003</t>
  </si>
  <si>
    <t>Top Shoulder, original label numbered, Excellent condition</t>
  </si>
  <si>
    <t>FBORPAUMOCxxx1964AxCYBCC002</t>
  </si>
  <si>
    <t>MOUTON ROTHSCHILD 1965</t>
  </si>
  <si>
    <t>Mid Shoulder, RC beautiful label</t>
  </si>
  <si>
    <t>FBORPAUMOCxxx1965AxIDBIR001</t>
  </si>
  <si>
    <t>Top Shoulder, side caps and label rotten</t>
  </si>
  <si>
    <t>FBORPAUMOCxxx1965AxSTCC6001</t>
  </si>
  <si>
    <t>Top Shoulder, original label num, Excellent condition (1)</t>
  </si>
  <si>
    <t>FBORPAUMOCxxx1965AxSTGI9001</t>
  </si>
  <si>
    <t>Top Shoulder, original label numbered, Excellent condition (2)</t>
  </si>
  <si>
    <t>FBORPAUMOCxxx1965AxSTHEO001</t>
  </si>
  <si>
    <t>Mid Shoulder/ (low), stained numbered label</t>
  </si>
  <si>
    <t>FBORPAUMOCxxx1965AxWKBHV001</t>
  </si>
  <si>
    <t>MOUTON ROTHSCHILD 1966 MAGNUM</t>
  </si>
  <si>
    <t>MAGNUM (1,5L)</t>
  </si>
  <si>
    <t>Very Top Shoulder, original label numbered, Excellent condition</t>
  </si>
  <si>
    <t>FBORPAUMOCxxx1966BxWVIHS001</t>
  </si>
  <si>
    <t>MOUTON ROTHSCHILD 1967</t>
  </si>
  <si>
    <t>Very High Shoulder, original label numbered, Excellent condition (1)</t>
  </si>
  <si>
    <t>FBORPAUMOCxxx1967ACDMFC3001</t>
  </si>
  <si>
    <t>Very High Shoulder, original label num, Excellent condition (2)</t>
  </si>
  <si>
    <t>FBORPAUMOCxxx1967AVINGFR005</t>
  </si>
  <si>
    <t>MOUTON ROTHSCHILD 1967 MAGNUM</t>
  </si>
  <si>
    <t>Base of Neck, original label num M, label default on the side</t>
  </si>
  <si>
    <t>FBORPAUMOCxxx1967BxSTGI9001</t>
  </si>
  <si>
    <t>MOUTON ROTHSCHILD 1968</t>
  </si>
  <si>
    <t>Base of Neck/VTS, Original numbered label. Excellent condition (1)</t>
  </si>
  <si>
    <t>FBORPAUMOCxxx1968AxSTHEO001</t>
  </si>
  <si>
    <t>Base of Neck/VTS, Original numbered label. Excellent condition (2)</t>
  </si>
  <si>
    <t>FBORPAUMOCxxx1968ABWAFL4001</t>
  </si>
  <si>
    <t>MOUTON ROTHSCHILD 1969</t>
  </si>
  <si>
    <t>Very Top Shoulder, original label num, Excellent condition, 2 bt in stock</t>
  </si>
  <si>
    <t>FBORPAUMOCxxx1969AWRHGCA001</t>
  </si>
  <si>
    <t>Very Top Shoulder, original slithly yellowish label numbered, Outstanding condition, 2 bt in stock</t>
  </si>
  <si>
    <t>FBORPAUMOCxxx1969AxSTGI9005</t>
  </si>
  <si>
    <t>MOUTON ROTHSCHILD 1969 MAGNUM</t>
  </si>
  <si>
    <t>Base of Neck, original label num M, label with glue strip but very good</t>
  </si>
  <si>
    <t>FBORPAUMOCxxx1969BxSTGFA001</t>
  </si>
  <si>
    <t>MOUTON ROTHSCHILD 1970</t>
  </si>
  <si>
    <t>Very Top Shoulder, Beautiful original label numbered, Excellent condition</t>
  </si>
  <si>
    <t>FBORPAUMOCxxx1970AFTHGAV001</t>
  </si>
  <si>
    <t>MOUTON ROTHSCHILD 1971</t>
  </si>
  <si>
    <t>Very Top Shoulder, original label numbered, Excellent condition, 3 bt in stock</t>
  </si>
  <si>
    <t>FBORPAUMOCxxx1971AxCYFAU001</t>
  </si>
  <si>
    <t>Very Top Shoulder, original label num, Excellent condition, 3 bt in stock</t>
  </si>
  <si>
    <t>FBORPAUMOCxxx1971AxSTGFA002</t>
  </si>
  <si>
    <t>MOUTON ROTHSCHILD 1972</t>
  </si>
  <si>
    <t>BN/VTS, original label num, Excellent condition, 4 bt in stock</t>
  </si>
  <si>
    <t>FBORPAUMOCxxx1972AxSTGI9001</t>
  </si>
  <si>
    <t>FBORPAUMOCxxx1972AxSTHEO002</t>
  </si>
  <si>
    <t>Base of Neck, Original numbered label. Outstanding color and condition, 4 bt in stock</t>
  </si>
  <si>
    <t>FBORPAUMOCxxx1972AxSTHEO003</t>
  </si>
  <si>
    <t>MOUTON ROTHSCHILD 1973</t>
  </si>
  <si>
    <t>Base of Neck, outstanding color and condition, 2 bt in stock</t>
  </si>
  <si>
    <t>FBORPAUMOCxxx1973AxSTHFO002</t>
  </si>
  <si>
    <t>MOUTON ROTHSCHILD 1978</t>
  </si>
  <si>
    <t>Base of Neck, outstanding color and condition, 10 bt in stock same condition</t>
  </si>
  <si>
    <t>FBORPAUMOCxxx1978AxCYGKN001</t>
  </si>
  <si>
    <t>MOUTON ROTHSCHILD 1978 SC</t>
  </si>
  <si>
    <t>Base of Neck, Oustanding color and condition, 10 bt in stock same condition</t>
  </si>
  <si>
    <t>FBORPAUMOCxxx1978AxCYGKN002</t>
  </si>
  <si>
    <t>FBORPAUMOCxxx1978AxCYGKN003</t>
  </si>
  <si>
    <t>FBORPAUMOCxxx1978AxCYGKN004</t>
  </si>
  <si>
    <t>FBORPAUMOCxxx1978AxCYGKN005</t>
  </si>
  <si>
    <t>FBORPAUMOCxxx1978AxCYGKN006</t>
  </si>
  <si>
    <t>FBORPAUMOCxxx1978AxCYGKN007</t>
  </si>
  <si>
    <t>FBORPAUMOCxxx1978AxCYGKN008</t>
  </si>
  <si>
    <t>FBORPAUMOCxxx1978AxCYGKN009</t>
  </si>
  <si>
    <t>FBORPAUMOCxxx1978AxCYGKN019</t>
  </si>
  <si>
    <t>MOUTON ROTHSCHILD 1982 MAGNUM</t>
  </si>
  <si>
    <t>IN the neck, outstanding color and condition</t>
  </si>
  <si>
    <t>FBORPAUMOCxxx1982BWBWGKB001</t>
  </si>
  <si>
    <t>MOUTON ROTHSCHILD 1984</t>
  </si>
  <si>
    <t>Top Shoulder, good label color and condition, us import</t>
  </si>
  <si>
    <t>FBORPAUMOCxxx1984AxBWBAT002</t>
  </si>
  <si>
    <t>MOUTON ROTHSCHILD 1986</t>
  </si>
  <si>
    <t>IN the neck, Oustanding color and condition</t>
  </si>
  <si>
    <t>FBORPAUMOCxxx1986AxSTHEO001</t>
  </si>
  <si>
    <t>MOUTON ROTHSCHILD 1986 MAGNUM</t>
  </si>
  <si>
    <t>FBORPAUMOCxxx1986BWBWGKB001</t>
  </si>
  <si>
    <t>MOUTON ROTHSCHILD 1987</t>
  </si>
  <si>
    <t>IN the neck, Oustanding color, label lightly stain, 2 bt in stock</t>
  </si>
  <si>
    <t>FBORPAUMOCxxx1987AxSTHFO002</t>
  </si>
  <si>
    <t>FBORPAUMOCxxx1987AxSTHFO003</t>
  </si>
  <si>
    <t>MOUTON ROTHSCHILD 1988</t>
  </si>
  <si>
    <t>FBORPAUMOCxxx1988AxSTHFO001</t>
  </si>
  <si>
    <t>FBORPAUMOCxxx1988AxSTHFO002</t>
  </si>
  <si>
    <t>MOUTON ROTHSCHILD 1992</t>
  </si>
  <si>
    <t>FBORPAUMOCxxx1992AxSTHEO002</t>
  </si>
  <si>
    <t>MOUTON ROTHSCHILD 1992 MAGNUM</t>
  </si>
  <si>
    <t>FBORPAUMOCxxx1992BxSTHEO001</t>
  </si>
  <si>
    <t>MOUTON ROTHSCHILD 1993</t>
  </si>
  <si>
    <t>FBORPAUMOCxxx1993AFTHHBT001</t>
  </si>
  <si>
    <t>MOUTON ROTHSCHILD 1993 MAGNUM</t>
  </si>
  <si>
    <t>FBORPAUMOCxxx1993BxSTHEO001</t>
  </si>
  <si>
    <t>MOUTON ROTHSCHILD 1994</t>
  </si>
  <si>
    <t>Base of neck, outstanding color, label stain</t>
  </si>
  <si>
    <t>FBORPAUMOCxxx1994AxSTHEO001</t>
  </si>
  <si>
    <t>IN the neck, outstanding color and condition, 2 bt in stock</t>
  </si>
  <si>
    <t>FBORPAUMOCxxx1994AxSTHEO002</t>
  </si>
  <si>
    <t>FBORPAUMOCxxx1994AxSTHEO004</t>
  </si>
  <si>
    <t>MOUTON ROTHSCHILD 1994 MAGNUM</t>
  </si>
  <si>
    <t>FBORPAUMOCxxx1994BxSTHEO001</t>
  </si>
  <si>
    <t>MOUTON ROTHSCHILD 1997</t>
  </si>
  <si>
    <t>IN the neck, Excellent color and condition, 2 bt in stock</t>
  </si>
  <si>
    <t>FBORPAUMOCxxx1997AxSTHEO001</t>
  </si>
  <si>
    <t>FBORPAUMOCxxx1997AxSTHEO002</t>
  </si>
  <si>
    <t>MOUTON ROTHSCHILD 1998</t>
  </si>
  <si>
    <t>FBORPAUMOCxxx1998AxSTHEO001</t>
  </si>
  <si>
    <t>MOUTON ROTHSCHILD 1999</t>
  </si>
  <si>
    <t>IN the neck, outstanding color, label slighty scuffed</t>
  </si>
  <si>
    <t>FBORPAUMOCxxx1999AxSTHEO001</t>
  </si>
  <si>
    <t>FBORPAUMOCxxx1999AxSTHEO002</t>
  </si>
  <si>
    <t>MOUTON ROTHSCHILD 1999 MAGNUM</t>
  </si>
  <si>
    <t>FBORPAUMOCxxx1999BxSTHEO001</t>
  </si>
  <si>
    <t>MOUTON ROTHSCHILD 2000 MAGNUM</t>
  </si>
  <si>
    <t>FBORPAUMOCxxx2000BGGLGJJ001</t>
  </si>
  <si>
    <t>MOUTON ROTHSCHILD 2002 MAGNUM</t>
  </si>
  <si>
    <t>FBORPAUMOCxxx2002BxSTHEO001</t>
  </si>
  <si>
    <t>MOUTON ROTHSCHILD 2003</t>
  </si>
  <si>
    <t>IN the neck, label stained</t>
  </si>
  <si>
    <t>FBORPAUMOCxxx2003AxORBAQ001</t>
  </si>
  <si>
    <t>PICHON LALANDE 1928</t>
  </si>
  <si>
    <t>High Shoulder, excellent original condition</t>
  </si>
  <si>
    <t>PICHON LALANDE CHATEAU</t>
  </si>
  <si>
    <t>FBORPAUPICxxx1928APCEIKP001</t>
  </si>
  <si>
    <t>PICHON LALANDE 1945</t>
  </si>
  <si>
    <t>High Shoulder, Faded Label, Outstanding color</t>
  </si>
  <si>
    <t>FBORPAUPICxxx1945ACAVJB5001</t>
  </si>
  <si>
    <t>HAUT BRION 1978 BLANC</t>
  </si>
  <si>
    <t>2,5cm under cork, excellent color. 91pts TastingBook</t>
  </si>
  <si>
    <t>PESSAC LEOGNAN BLANC</t>
  </si>
  <si>
    <t>HAUT BRION CHATEAU</t>
  </si>
  <si>
    <t>FBORPLBHACxxx1978AKAPFLJ001</t>
  </si>
  <si>
    <t>HAUT BRION 1945</t>
  </si>
  <si>
    <t>Very Top Shoulder, vintage on cork, excellent color and condition. 100pts TastingBook</t>
  </si>
  <si>
    <t>PESSAC LEOGNAN ROUGE</t>
  </si>
  <si>
    <t>FBORPLRHACxxx1945ACAVILU001</t>
  </si>
  <si>
    <t>HAUT BRION 1953</t>
  </si>
  <si>
    <t>Very High Schoulder, excellent color. 99pts TastingBook</t>
  </si>
  <si>
    <t>FBORPLRHACxxx1953ALTVIL1001</t>
  </si>
  <si>
    <t>Very High Shoulder, Faded label, Outstanding color. 99pts TastingBook</t>
  </si>
  <si>
    <t>FBORPLRHACxxx1953ACAVJB5001</t>
  </si>
  <si>
    <t>Very High Shoulder, Faded label with a hole, Outstanding color. 99pts TastingBook</t>
  </si>
  <si>
    <t>FBORPLRHACxxx1953ACAVJB5002</t>
  </si>
  <si>
    <t>Mid Shoulder, Faded label, goood color. 99pts TastingBook</t>
  </si>
  <si>
    <t>FBORPLRHACxxx1953ACAVJB5003</t>
  </si>
  <si>
    <t>HAUT BRION 1955</t>
  </si>
  <si>
    <t>Top Shoulder, excellent color and condition. 97pts TastingBook</t>
  </si>
  <si>
    <t>FBORPLRHACxxx1955ALTVIL1001</t>
  </si>
  <si>
    <t>MALARTIC LA GRAVIERE 1937 MAGNUM</t>
  </si>
  <si>
    <t>In the neck, RECO, Fully branded cork, Excellent color and condition</t>
  </si>
  <si>
    <t>MALARTIC LA GRAVIERE CHATEAU</t>
  </si>
  <si>
    <t>FBORPLRMLGxxx1937BMAJHL6001</t>
  </si>
  <si>
    <t>MISSION HAUT BRION 1914</t>
  </si>
  <si>
    <t>Base of Neck, Reco, excellent color</t>
  </si>
  <si>
    <t>MISSION HAUT BRION CHATEAU</t>
  </si>
  <si>
    <t>FBORPLRMICxxx1914ALTVIL1001</t>
  </si>
  <si>
    <t>MISSION HAUT BRION 1928</t>
  </si>
  <si>
    <t>Top Shoulder, RECO, excellent color and condition</t>
  </si>
  <si>
    <t>FBORPLRMICxxx1928AxIDGF7001</t>
  </si>
  <si>
    <t>MISSION HAUT BRION 1929</t>
  </si>
  <si>
    <t>Very Top Shoulder, RECO, excellent color and condition, 2 bt in stock</t>
  </si>
  <si>
    <t>FBORPLRMICxxx1929AxIDGF7001</t>
  </si>
  <si>
    <t>FBORPLRMICxxx1929AxIDGF7003</t>
  </si>
  <si>
    <t>MISSION HAUT BRION 1937</t>
  </si>
  <si>
    <t>High Shoulder, all info on cork, Excellent color, 2 bt of 1937 in stock</t>
  </si>
  <si>
    <t>FBORPLRMICxxx1937AMAJIIB001</t>
  </si>
  <si>
    <t>Very Top Shoulder, RECO, Excellent color, 2 bt of 1937 in stock</t>
  </si>
  <si>
    <t>FBORPLRMICxxx1937ALTVIL1001</t>
  </si>
  <si>
    <t>MISSION HAUT BRION 1939</t>
  </si>
  <si>
    <t>Very Top Shoulder, RECO, Excellent color, label damaged</t>
  </si>
  <si>
    <t>FBORPLRMICxxx1939ALTVIL1001</t>
  </si>
  <si>
    <t>MISSION HAUT BRION 1941</t>
  </si>
  <si>
    <t>High Shoulder, vintage on cork, excellent color</t>
  </si>
  <si>
    <t>FBORPLRMICxxx1941ALTVIL1001</t>
  </si>
  <si>
    <t>MISSION HAUT BRION 1944</t>
  </si>
  <si>
    <t>Very High Shoulder, vintage on cork, excellent color and condition</t>
  </si>
  <si>
    <t>FBORPLRMICxxx1944AMAJIIB001</t>
  </si>
  <si>
    <t>MISSION HAUT BRION 1952</t>
  </si>
  <si>
    <t>Base of Neck, outstanding color and condition, 4 bt in stock</t>
  </si>
  <si>
    <t>FBORPLRMICxxx1952AxCYIHS001</t>
  </si>
  <si>
    <t>FBORPLRMICxxx1952AxCYIHS002</t>
  </si>
  <si>
    <t>FBORPLRMICxxx1952AxCYIHS003</t>
  </si>
  <si>
    <t>FBORPLRMICxxx1952AxCYIHS004</t>
  </si>
  <si>
    <t>MISSION HAUT BRION 1952 MAGNUM</t>
  </si>
  <si>
    <t>Very Top Shoulder of Neck, outstanding color and condition</t>
  </si>
  <si>
    <t>FBORPLRMICxxx1952BROSGEV001</t>
  </si>
  <si>
    <t>MISSION HAUT BRION 1953</t>
  </si>
  <si>
    <t>BN/VTS, RECO, excellent color and condition</t>
  </si>
  <si>
    <t>FBORPLRMICxxx1953AxIDGF7001</t>
  </si>
  <si>
    <t>Mid Shoulder, EX CHRISTIES, excellent color</t>
  </si>
  <si>
    <t>FBORPLRMICxxx1953ACHKGCO007</t>
  </si>
  <si>
    <t>MISSION HAUT BRION 1955</t>
  </si>
  <si>
    <t>Base of Neck, vintage on cork, excellent color and condition, 3 bt in stock</t>
  </si>
  <si>
    <t>FBORPLRMICxxx1955AIDEIE7001</t>
  </si>
  <si>
    <t>FBORPLRMICxxx1955AALBILU001</t>
  </si>
  <si>
    <t>MOUTON ROTHSCHILD 1963 MAGNUM</t>
  </si>
  <si>
    <t>IN, Perfect RECO certified by Michael Egan</t>
  </si>
  <si>
    <t>FBORPAUMOCxxx1963BSTAGIM001</t>
  </si>
  <si>
    <t>PAPE CLEMENT 1949</t>
  </si>
  <si>
    <t>Base of neck, Excellent color, dirty faded label but complete and lisible</t>
  </si>
  <si>
    <t>PAPE CLEMENT CHATEAU</t>
  </si>
  <si>
    <t>FBORPLRPAPxxx1949ABWAFL4001</t>
  </si>
  <si>
    <t>TROTANOY 1945</t>
  </si>
  <si>
    <t>POMEROL</t>
  </si>
  <si>
    <t>TROTANOY CHATEAU</t>
  </si>
  <si>
    <t>FBORPOMTROxxx1945ALOBIL3001</t>
  </si>
  <si>
    <t>VIEUX CHATEAU CERTAN 1945</t>
  </si>
  <si>
    <t>Very Top Shoulder, Excellent color and condition. Capsule cut showing fully branded cork</t>
  </si>
  <si>
    <t>CERTAN</t>
  </si>
  <si>
    <t>FBORPOMCERxxx1945AxIDGF7001</t>
  </si>
  <si>
    <t>VIEUX CHATEAU CERTAN 1947</t>
  </si>
  <si>
    <t>Very Top Shoulder, Excellent color and condition</t>
  </si>
  <si>
    <t>FBORPOMCERxxx1947AxIDGF7001</t>
  </si>
  <si>
    <t>Very Top Shoulder, Original bottle, Outstanding color and condition</t>
  </si>
  <si>
    <t>VIEUX CHATEAU CERTAN</t>
  </si>
  <si>
    <t>FBORPOMCERxxx1947AHOHJAQ001</t>
  </si>
  <si>
    <t>VIEUX CHATEAU CERTAN 1953</t>
  </si>
  <si>
    <t>Base of Neck. Outstanding color and condition</t>
  </si>
  <si>
    <t>FBORPOMCERxxx1953AxCYIKE001</t>
  </si>
  <si>
    <t>VIEUX CHATEAU CERTAN 1959</t>
  </si>
  <si>
    <t>Top Shoulder. Excellent color, label and capsule, 2 bt in stock</t>
  </si>
  <si>
    <t>FBORPOMCERxxx1959AxVCIKE001</t>
  </si>
  <si>
    <t>FBORPOMCERxxx1959AxVCIKE002</t>
  </si>
  <si>
    <t>VIEUX CHATEAU CERTAN 1959 MAGNUM</t>
  </si>
  <si>
    <t>IN the Neck. Outstanding color. Capsule cut showing fully branded cork</t>
  </si>
  <si>
    <t>FBORPOMCERxxx1959BALTIKH001</t>
  </si>
  <si>
    <t>VIEUX CHATEAU CERTAN 1962 MAGNUM</t>
  </si>
  <si>
    <t>Top Shoulder. Outstanding color. Capsule cut showing illegible branded cork</t>
  </si>
  <si>
    <t>FBORPOMCERxxx1962BBWAGEV001</t>
  </si>
  <si>
    <t>AUSONE 1950</t>
  </si>
  <si>
    <t>Base neck, Reco in 1994, 94pts TastingBook, 2 bt in stock</t>
  </si>
  <si>
    <t>SAINT EMILION</t>
  </si>
  <si>
    <t>AUSONE</t>
  </si>
  <si>
    <t>FBORSTEAUSxxx1950ALTVIJ5001</t>
  </si>
  <si>
    <t>FBORSTEAUSxxx1950ALTVIJ5002</t>
  </si>
  <si>
    <t>AUSONE 1961</t>
  </si>
  <si>
    <t>Very Top Shoulder, outstanding color and condition, 96pts TastingBook</t>
  </si>
  <si>
    <t>FBORSTEAUSxxx1961AJPCIJ9001</t>
  </si>
  <si>
    <t>CHEVAL BLANC 1953</t>
  </si>
  <si>
    <t>IN the Neck, Outstanding Color and Condition. 98pts TastingBook</t>
  </si>
  <si>
    <t>CHEVAL BLANC CHATEAU</t>
  </si>
  <si>
    <t>FBORSTECBCxxx1953AxABIKP001</t>
  </si>
  <si>
    <t>CHEVAL BLANC 1962 MAGNUM</t>
  </si>
  <si>
    <t>PERFECT, Reco in 1985, in OWC. 94pts TastingBook</t>
  </si>
  <si>
    <t>FBORSTECBCxxx1962BWPSIL2001</t>
  </si>
  <si>
    <t>COS D'ESTOURNEL 1918</t>
  </si>
  <si>
    <t>RECO, PERFECT. 93pts TastingBook. level IN, 6 bt in stock</t>
  </si>
  <si>
    <t>SAINT ESTEPHE</t>
  </si>
  <si>
    <t>COS D'ESTOURNEL CHATEAU</t>
  </si>
  <si>
    <t>FBORESTCOCxxx1918ALTVIL1001</t>
  </si>
  <si>
    <t>FBORESTCOCxxx1918ALTVIL1002</t>
  </si>
  <si>
    <t>FBORESTCOCxxx1918ALTVIL1003</t>
  </si>
  <si>
    <t>FBORESTCOCxxx1918ALTVIL1004</t>
  </si>
  <si>
    <t>FBORESTCOCxxx1918ALTVIL1005</t>
  </si>
  <si>
    <t>FBORESTCOCxxx1918ALTVIL1006</t>
  </si>
  <si>
    <t>6 BOTTLES - GRUAUD LAROSE 1949</t>
  </si>
  <si>
    <t>Very Top Shoulder / Top Shoulder, 
Outstanding color and condition — 96 pts (TastingBook</t>
  </si>
  <si>
    <t>SAINT JULIEN</t>
  </si>
  <si>
    <t>GRUAUD LAROSE CHATEAU</t>
  </si>
  <si>
    <t>FBORJULGRCxxx1949AxIDJA8GR1</t>
  </si>
  <si>
    <t>GRUAUD LAROSE 1929</t>
  </si>
  <si>
    <t>In the Neck, outstanding color and condition. 97pts TastingBook</t>
  </si>
  <si>
    <t>FBORJULGRCxxx1929AVIWIKA001</t>
  </si>
  <si>
    <t>GRUAUD LAROSE 1934</t>
  </si>
  <si>
    <t>IN the Neck, outstanding color and condition. 93pts TastingBook</t>
  </si>
  <si>
    <t>FBORJULGRCxxx1934ATASIKK001</t>
  </si>
  <si>
    <t>GRUAUD LAROSE 1950</t>
  </si>
  <si>
    <t>Base of Neck, outstanding color and condition. 92pts TastingBook</t>
  </si>
  <si>
    <t>FBORJULGRCxxx1950AMRSILJ001</t>
  </si>
  <si>
    <t>GRUAUD LAROSE 1953</t>
  </si>
  <si>
    <t>VTS/TS, excellent color and condition. 95pts TastingBook</t>
  </si>
  <si>
    <t>FBORJULGRCxxx1953ACATIK9001</t>
  </si>
  <si>
    <t>GRUAUD LAROSE 1961</t>
  </si>
  <si>
    <t>Top Shoulder. outstanding color and condition. 96pts TastingBook</t>
  </si>
  <si>
    <t>FBORJULGRCxxx1961ACAVJAG001</t>
  </si>
  <si>
    <t>LEOVILLE LAS CASES 1961</t>
  </si>
  <si>
    <t>Base of Neck/Very top shoulder, outstanding color and condition</t>
  </si>
  <si>
    <t>LAFLEUR</t>
  </si>
  <si>
    <t>FBORJULLLCxxx1961AJHSIJV001</t>
  </si>
  <si>
    <t>Very top shoulder, outstanding color and condition</t>
  </si>
  <si>
    <t>LEOVILLE LAS CASES CHATEAU</t>
  </si>
  <si>
    <t>FBORJULLLCxxx1961AGRDIKK001</t>
  </si>
  <si>
    <t>BONNES MARES FAIVELEY 1966</t>
  </si>
  <si>
    <t>3,5 cm, excellent color</t>
  </si>
  <si>
    <t>BURGUNDY</t>
  </si>
  <si>
    <t>BONNES-MARES</t>
  </si>
  <si>
    <t>FAIVELEY</t>
  </si>
  <si>
    <t>FBURBONFAIGRC1966AxWJBEE001</t>
  </si>
  <si>
    <t>BONNES MARES VIEILLES VIGNES ROUMIER 1988</t>
  </si>
  <si>
    <t>Outstanding Color and Condition</t>
  </si>
  <si>
    <t>GEORGES ROUMIER</t>
  </si>
  <si>
    <t>FBURBONROMGRC1988AxWJBEE001</t>
  </si>
  <si>
    <t>CHAMBERTIN ROUSSEAU 1980</t>
  </si>
  <si>
    <t>Outstanding Color and Condition. 94pts TastingBook</t>
  </si>
  <si>
    <t>CHAMBERTIN</t>
  </si>
  <si>
    <t>ROUSSEAU DOMAINE</t>
  </si>
  <si>
    <t>FBURCHMROUGRC1980AVIWIKA001</t>
  </si>
  <si>
    <t>CLOS DE LA ROCHE ROUSSEAU 1980</t>
  </si>
  <si>
    <t>Level 1cm, excellent color and condition</t>
  </si>
  <si>
    <t>CLOS DE LA ROCHE</t>
  </si>
  <si>
    <t>FBURCLRROUGRC1980AVIWIKA001</t>
  </si>
  <si>
    <t>ECHEZEAUX LEROY 1969</t>
  </si>
  <si>
    <t>2cm, perfect</t>
  </si>
  <si>
    <t>ECHEZEAUX</t>
  </si>
  <si>
    <t>LEROY MAISON</t>
  </si>
  <si>
    <t>FBURECHLEMGRC1969AWANILA001</t>
  </si>
  <si>
    <t>MUSIGNY VV DE VOGUE 1966</t>
  </si>
  <si>
    <t>4,5cm, Excellent presentation, label and condition</t>
  </si>
  <si>
    <t>MUSIGNY</t>
  </si>
  <si>
    <t>COMTE DE VOGUE DOMAINE</t>
  </si>
  <si>
    <t>FBURMUSCVDVIV1966AFTHFEF001</t>
  </si>
  <si>
    <t>DRC RICHEBOURG 1966</t>
  </si>
  <si>
    <t>Excellent color, 3cm, label water stain</t>
  </si>
  <si>
    <t>RICHEBOURG</t>
  </si>
  <si>
    <t>ROMANEE CONTI DOMAINE</t>
  </si>
  <si>
    <t>FBURRICDRCGRC1966AxVEGKM001</t>
  </si>
  <si>
    <t>RUCHOTTES CHAMBERTIN ROUSSEAU 1980</t>
  </si>
  <si>
    <t>outstanding color and condition, 2 bt in stock</t>
  </si>
  <si>
    <t>RUCHOTTES CHAMBERTIN</t>
  </si>
  <si>
    <t>FBURRUCROUGRC1980AVIWIKA001</t>
  </si>
  <si>
    <t>FBURRUCROUGRC1980AVIWIKA002</t>
  </si>
  <si>
    <t>VOLNAY Clos des Ducs MARQUIS D'ANGERVILLE 1999</t>
  </si>
  <si>
    <t>Outstanding color and condition. 2 bt in stock</t>
  </si>
  <si>
    <t>VOLNAY</t>
  </si>
  <si>
    <t>MARQUIS D'ANGERVILLE</t>
  </si>
  <si>
    <t>FBURVOLMDACDD1999AXXXBFQ001</t>
  </si>
  <si>
    <t>FBURVOLMDACDD1999AXXXBFP001</t>
  </si>
  <si>
    <t>VOSNE ROMANEE Clos Du Chateau 2006 Domaine du Comte Liger-Belair</t>
  </si>
  <si>
    <t>Outstanding color and condition. 4 bt in stock</t>
  </si>
  <si>
    <t>VOSNE ROMANEE</t>
  </si>
  <si>
    <t>LIGER BELAIR</t>
  </si>
  <si>
    <t>FBURVSNLIGCLD2006AWFAIKS001</t>
  </si>
  <si>
    <t>FBURVSNLIGCLD2006AWFAIKS002</t>
  </si>
  <si>
    <t>FBURVSNLIGCLD2006AWFAIKS003</t>
  </si>
  <si>
    <t>FBURVSNLIGCLD2006AWFAIKS004</t>
  </si>
  <si>
    <t>VOSNE ROMANEE La Colombiere 2006 Domaine du Comte Liger-Belair</t>
  </si>
  <si>
    <t>FBURVSNLIGLCO2006AWFAIKS001</t>
  </si>
  <si>
    <t>FBURVSNLIGLCO2006AWFAIKS002</t>
  </si>
  <si>
    <t>FBURVSNLIGLCO2006AWFAIKS003</t>
  </si>
  <si>
    <t>FBURVSNLIGLCO2006AWFAIKS004</t>
  </si>
  <si>
    <t>CRISTAL ROEDERER 1962</t>
  </si>
  <si>
    <t>CHAMPAGNE</t>
  </si>
  <si>
    <t>ROEDERER</t>
  </si>
  <si>
    <t>FCHPCHPROECRI1962AxARALV001</t>
  </si>
  <si>
    <t>CRISTAL ROEDERER 1966 MAGNUM</t>
  </si>
  <si>
    <t>FCHPCHPROECRI1966BxJAALV001</t>
  </si>
  <si>
    <t>CRISTAL ROEDERER 1970</t>
  </si>
  <si>
    <t>FCHPCHPROECRI1970AVWIALV001</t>
  </si>
  <si>
    <t>CRISTAL ROEDERER 1973 MAGNUM</t>
  </si>
  <si>
    <t>FCHPCHPROECRI1973BRVWALV001</t>
  </si>
  <si>
    <t>FCHPCHPROECRI1973BRVWALV002</t>
  </si>
  <si>
    <t>CRISTAL ROEDERER 1977</t>
  </si>
  <si>
    <t>FCHPCHPROECRI1977AVWIALV001</t>
  </si>
  <si>
    <t>DOM PERIGNON 1959</t>
  </si>
  <si>
    <t>MOET ET CHANDON</t>
  </si>
  <si>
    <t>FCHPCHPMOEDPG1959ALDAFG5001</t>
  </si>
  <si>
    <t>FCHPCHPMOEDPG1959ASIMFJI001</t>
  </si>
  <si>
    <t>DOM PERIGNON 1964</t>
  </si>
  <si>
    <t>5 bottles in stock in this condition. 95pts TastingBook</t>
  </si>
  <si>
    <t>FCHPCHPMOEDPG1964AxEBFFP001</t>
  </si>
  <si>
    <t>FCHPCHPMOEDPG1964AxEBFFQ001</t>
  </si>
  <si>
    <t>FCHPCHPMOEDPG1964AxEBFFQ002</t>
  </si>
  <si>
    <t>4 bottles in stock in this condition. 95pts TastingBook</t>
  </si>
  <si>
    <t>FCHPCHPMOEDPG1964AxEBFFR001</t>
  </si>
  <si>
    <t>3 bottles in stock in this condition. 95pts TastingBook</t>
  </si>
  <si>
    <t>FCHPCHPMOEDPG1964ASIMFIC002</t>
  </si>
  <si>
    <t>FCHPCHPMOEDPG1964ASIMFIP001</t>
  </si>
  <si>
    <t>FCHPCHPMOEDPG1964ASIMFIP002</t>
  </si>
  <si>
    <t>FCHPCHPMOEDPG1964ASIMFJC001</t>
  </si>
  <si>
    <t>FCHPCHPMOEDPG1964ACATGAG001</t>
  </si>
  <si>
    <t>FCHPCHPMOEDPG1964ADAAGC9001</t>
  </si>
  <si>
    <t>FCHPCHPMOEDPG1964ADAAGC9002</t>
  </si>
  <si>
    <t>FCHPCHPMOEDPG1964ADAAGC9003</t>
  </si>
  <si>
    <t>DOM PERIGNON 1964 MAGNUM</t>
  </si>
  <si>
    <t>Very good condition. 95pts TastingBook</t>
  </si>
  <si>
    <t>FCHPCHPMOEDPG1964BVINFF7002</t>
  </si>
  <si>
    <t>DOM PERIGNON 1966</t>
  </si>
  <si>
    <t>Very Good condition. 96pts TastingBook. 2 bottles in this condition</t>
  </si>
  <si>
    <t>FCHPCHPMOEDPG1966ACAVFFN001</t>
  </si>
  <si>
    <t>Good condition. 96pts TastingBook. 2 bottles</t>
  </si>
  <si>
    <t>FCHPCHPMOEDPG1966AxEBFFP001</t>
  </si>
  <si>
    <t>Excellent condition. 96pts TastingBook. 1 Bottle in this condition</t>
  </si>
  <si>
    <t>FCHPCHPMOEDPG1966AxEBFFP002</t>
  </si>
  <si>
    <t>FCHPCHPMOEDPG1966AxEBFFQ001</t>
  </si>
  <si>
    <t>FCHPCHPMOEDPG1966ASIMFIC001</t>
  </si>
  <si>
    <t>DOM PERIGNON 1969</t>
  </si>
  <si>
    <t>Good condition. 95pts TastingBook. 3 Bottle in this condition</t>
  </si>
  <si>
    <t>FCHPCHPMOEDPG1969AxEBFFP001</t>
  </si>
  <si>
    <t>Very good condition. 95pts TastingBook. 2 Bottle in this condition</t>
  </si>
  <si>
    <t>FCHPCHPMOEDPG1969AxEBFFQ002</t>
  </si>
  <si>
    <t>FCHPCHPMOEDPG1969AxEBFFS001</t>
  </si>
  <si>
    <t>Excellent condition. 95pts TastingBook. 4 Bottle in this condition</t>
  </si>
  <si>
    <t>FCHPCHPMOEDPG1969ASIMFIC001</t>
  </si>
  <si>
    <t>FCHPCHPMOEDPG1969ASIMFIP001</t>
  </si>
  <si>
    <t>FCHPCHPMOEDPG1969ASIMFIP002</t>
  </si>
  <si>
    <t>FCHPCHPMOEDPG1969ASIMFJC001</t>
  </si>
  <si>
    <t>FCHPCHPMOEDPG1969ALOGFFO001</t>
  </si>
  <si>
    <t>DOM PERIGNON 1970</t>
  </si>
  <si>
    <t>Very good condition. 94pts TastingBook. 1 Bottle in this condition</t>
  </si>
  <si>
    <t>FCHPCHPMOEDPG1970ASIMFIP001</t>
  </si>
  <si>
    <t>Good condition but lower level. 94pts TastingBook. 2 Bottle in this condition</t>
  </si>
  <si>
    <t>FCHPCHPMOEDPG1970ASIMFJC002</t>
  </si>
  <si>
    <t>Excellent condition. 94pts TastingBook. 4 Bottle in this condition</t>
  </si>
  <si>
    <t>FCHPCHPMOEDPG1970AxEBFF3001</t>
  </si>
  <si>
    <t>FCHPCHPMOEDPG1970AVINFF7001</t>
  </si>
  <si>
    <t>FCHPCHPMOEDPG1970AVINFF7002</t>
  </si>
  <si>
    <t>Very good condition but label stain. 94pts TastingBook. 1 Bottle in this condition</t>
  </si>
  <si>
    <t>FCHPCHPMOEDPG1970AVINFF7003</t>
  </si>
  <si>
    <t>FCHPCHPMOEDPG1970ACATFG7001</t>
  </si>
  <si>
    <t>FCHPCHPMOEDPG1970ASIMFJC001</t>
  </si>
  <si>
    <t>DOM PERIGNON 1971</t>
  </si>
  <si>
    <t>Very good condition. 95pts TastingBook. 4 Bottle in this condition</t>
  </si>
  <si>
    <t>FCHPCHPMOEDPG1971AxEBFF3001</t>
  </si>
  <si>
    <t>Good condition. 95pts TastingBook. 1 Bottle in this condition</t>
  </si>
  <si>
    <t>FCHPCHPMOEDPG1971AxEBFG5001</t>
  </si>
  <si>
    <t>FCHPCHPMOEDPG1971ADAAFID001</t>
  </si>
  <si>
    <t>FCHPCHPMOEDPG1971AxEBFIE001</t>
  </si>
  <si>
    <t>FCHPCHPMOEDPG1971AxEBFIF001</t>
  </si>
  <si>
    <t>Excellent condition. 95pts TastingBook. 5 Bottle in this condition</t>
  </si>
  <si>
    <t>FCHPCHPMOEDPG1971ACATGA6001</t>
  </si>
  <si>
    <t>FCHPCHPMOEDPG1971ADAAFLC001</t>
  </si>
  <si>
    <t>FCHPCHPMOEDPG1971ADAAGF5001</t>
  </si>
  <si>
    <t>FCHPCHPMOEDPG1971ADAAFI6002</t>
  </si>
  <si>
    <t>FCHPCHPMOEDPG1971ADAAFI6001</t>
  </si>
  <si>
    <t>DOM PERIGNON 1973</t>
  </si>
  <si>
    <t>Very good condition. 95pts TastingBook. 3 Bottle in this condition</t>
  </si>
  <si>
    <t>FCHPCHPMOEDPG1973ACATFFH001</t>
  </si>
  <si>
    <t>FCHPCHPMOEDPG1973ACATFFH002</t>
  </si>
  <si>
    <t>FCHPCHPMOEDPG1973ASIMFIP001</t>
  </si>
  <si>
    <t>Good condition but lower. 95pts TastingBook. 1 Bottle in this condition</t>
  </si>
  <si>
    <t>FCHPCHPMOEDPG1973ASIMFJC001</t>
  </si>
  <si>
    <t>FCHPCHPMOEDPG1973ASIMFJC002</t>
  </si>
  <si>
    <t>FCHPCHPMOEDPG1973AVINFF7001</t>
  </si>
  <si>
    <t>Good condition. 95pts TastingBook. 2 Bottle in this condition</t>
  </si>
  <si>
    <t>FCHPCHPMOEDPG1973ADAAFIS001</t>
  </si>
  <si>
    <t>FCHPCHPMOEDPG1973ADAAFIS002</t>
  </si>
  <si>
    <t>FCHPCHPMOEDPG1973ADAAGAA001</t>
  </si>
  <si>
    <t>FCHPCHPMOEDPG1973AXXXGJE001</t>
  </si>
  <si>
    <t>DOM PERIGNON 1975 MAGNUM</t>
  </si>
  <si>
    <t>Very good level. Label Slightly damaged. 95pts TastingBook</t>
  </si>
  <si>
    <t>FCHPCHPMOEDPG1975BCATGF9001</t>
  </si>
  <si>
    <t>DOM PERIGNON 1976</t>
  </si>
  <si>
    <t>Excellent condition. 98pts TastingBook. 3 Bottle in this condition</t>
  </si>
  <si>
    <t>FCHPCHPMOEDPG1976ASIMFJI001</t>
  </si>
  <si>
    <t>FCHPCHPMOEDPG1976AXXXHIU002</t>
  </si>
  <si>
    <t>DOM PERIGNON 1978</t>
  </si>
  <si>
    <t>Very good condition. 93pts TastingBook. 4 Bottles in this condition</t>
  </si>
  <si>
    <t>FCHPCHPMOEDPG1978AxEBFFQ002</t>
  </si>
  <si>
    <t>Excellent condition. 93pts TastingBook. 7 Bottles in this condition</t>
  </si>
  <si>
    <t>FCHPCHPMOEDPG1978ACATFG2001</t>
  </si>
  <si>
    <t>FCHPCHPMOEDPG1978ASIMFIC001</t>
  </si>
  <si>
    <t>FCHPCHPMOEDPG1978ASIMFIC002</t>
  </si>
  <si>
    <t>FCHPCHPMOEDPG1978AxEBFIE001</t>
  </si>
  <si>
    <t>FCHPCHPMOEDPG1978ASIMFJI001</t>
  </si>
  <si>
    <t>FCHPCHPMOEDPG1978ADAAGF5001</t>
  </si>
  <si>
    <t>FCHPCHPMOEDPG1978ADAAGGB001</t>
  </si>
  <si>
    <t>FCHPCHPMOEDPG1978ADAAGGB002</t>
  </si>
  <si>
    <t>FCHPCHPMOEDPG1978AXXXHIU001</t>
  </si>
  <si>
    <t>FCHPCHPMOEDPG1978ADAAFKM002</t>
  </si>
  <si>
    <t>DOM PERIGNON 1980</t>
  </si>
  <si>
    <t>Very good condition. 91pts TastingBook. 3 Bottles in this condition</t>
  </si>
  <si>
    <t>FCHPCHPMOEDPG1980ASIMFIC001</t>
  </si>
  <si>
    <t>Good condition. 91pts TastingBook. 2 Bottles in this condition</t>
  </si>
  <si>
    <t>FCHPCHPMOEDPG1980ASIMFIP001</t>
  </si>
  <si>
    <t>FCHPCHPMOEDPG1980ASIMFIP002</t>
  </si>
  <si>
    <t>Excellent condition. 91pts TastingBook. 6 Bottles in this condition</t>
  </si>
  <si>
    <t>FCHPCHPMOEDPG1980ASIMFIP003</t>
  </si>
  <si>
    <t>FCHPCHPMOEDPG1980ADAAFJ6001</t>
  </si>
  <si>
    <t>FCHPCHPMOEDPG1980ASIMFJC001</t>
  </si>
  <si>
    <t>FCHPCHPMOEDPG1980ASIMFJC002</t>
  </si>
  <si>
    <t>FCHPCHPMOEDPG1980ASIMFJI001</t>
  </si>
  <si>
    <t>FCHPCHPMOEDPG1980ASIMFJI002</t>
  </si>
  <si>
    <t>FCHPCHPMOEDPG1980ACATFJP001</t>
  </si>
  <si>
    <t>FCHPCHPMOEDPG1980ADAAFLC001</t>
  </si>
  <si>
    <t>DOM PERIGNON 1983</t>
  </si>
  <si>
    <t>Excellent condition. 94pts TastingBook. 3 Bottles in this condition</t>
  </si>
  <si>
    <t>FCHPCHPMOEDPG1983ASIMFJC001</t>
  </si>
  <si>
    <t>FCHPCHPMOEDPG1983ASIMFJI001</t>
  </si>
  <si>
    <t>DOM PERIGNON 1993</t>
  </si>
  <si>
    <t>FCHPCHPMOEDPG1993AXXXHFJ001</t>
  </si>
  <si>
    <t>PERRIER JOUET La Belle Epoque 1973 MAGNUM</t>
  </si>
  <si>
    <t>2cm, Excellent color and condition</t>
  </si>
  <si>
    <t>PERRIER JOUET</t>
  </si>
  <si>
    <t>FCHPCHPPEJLBE1973BxDRIJ1001</t>
  </si>
  <si>
    <t>POL ROGER BRUT RESERVE 1945</t>
  </si>
  <si>
    <t>Excellent color, level and condition</t>
  </si>
  <si>
    <t>POL ROGER</t>
  </si>
  <si>
    <t>FCHPCHPPOPxxx1945AxIDILJ001</t>
  </si>
  <si>
    <t>TAITTINGER COLLECTION 1978 VICTOR VASARELY</t>
  </si>
  <si>
    <t>TAITTINGER</t>
  </si>
  <si>
    <t>FCHPCHPTAICOL1978AABMGA9001</t>
  </si>
  <si>
    <t>TAITTINGER COLLECTION 1981 ARMAN</t>
  </si>
  <si>
    <t>FCHPCHPTAICOL1981AxEBFA8001</t>
  </si>
  <si>
    <t>TAITTINGER COLLECTION 1985 ROY LICHTENSTEIN</t>
  </si>
  <si>
    <t>FCHPCHPTAICOL1985AWANGKR004</t>
  </si>
  <si>
    <t>FCHPCHPTAICOL1985AWANGKR005</t>
  </si>
  <si>
    <t>FCHPCHPTAICOL1985AVUTFL1001</t>
  </si>
  <si>
    <t>FCHPCHPTAICOL1985AxEBGAF001</t>
  </si>
  <si>
    <t>TAITTINGER COLLECTION 1992 MATTA</t>
  </si>
  <si>
    <t>FCHPCHPTAICOL1992AVUTFL1001</t>
  </si>
  <si>
    <t>FCHPCHPTAICOL1992ACATGEU001</t>
  </si>
  <si>
    <t>FCHPCHPTAICOL1992AWANGKR003</t>
  </si>
  <si>
    <t>CHATEAUNEUF DU  PAPE MONT REDON  1971 MAGNUM</t>
  </si>
  <si>
    <t>RHONE</t>
  </si>
  <si>
    <t>CHÂTEAUNEUF-DU-PAPE</t>
  </si>
  <si>
    <t>MONT-REDON</t>
  </si>
  <si>
    <t>FRHOCDPMONxxx1971BXXXBFH001</t>
  </si>
  <si>
    <t>HERMITAGE Rouge JABOULET  LA CHAPELLE 1978 MAGNUM</t>
  </si>
  <si>
    <t>4cm, Excellent color and condition, 2 mag in stock</t>
  </si>
  <si>
    <t>HERMITAGE ROUGE</t>
  </si>
  <si>
    <t>JABOULET DOMAINE</t>
  </si>
  <si>
    <t>FRHOHRRJADLA1978BxIDHLD001</t>
  </si>
  <si>
    <t>FRHOHRRJADLA1978BxIDHLD002</t>
  </si>
  <si>
    <t>BARBARESCO CASTELLO DI NIEVE Santo Stefano 1971</t>
  </si>
  <si>
    <t>Base neck</t>
  </si>
  <si>
    <t>ITALY</t>
  </si>
  <si>
    <t>PIEMONT</t>
  </si>
  <si>
    <t>BARBARESCO</t>
  </si>
  <si>
    <t>CASTELLO DI NIEVE</t>
  </si>
  <si>
    <t>IPIEBRBCDNSAN1971AXXXHIU001</t>
  </si>
  <si>
    <t>BARBARESCO GAJA 1971 3.78L</t>
  </si>
  <si>
    <t>DOUBLE MAGNUM (3L)</t>
  </si>
  <si>
    <t>IN neck, Label Slight damaged</t>
  </si>
  <si>
    <t>GAJA</t>
  </si>
  <si>
    <t>IPIEBRBGAJxxx1971CLOGGDR002</t>
  </si>
  <si>
    <t>BAROLO BORGOGNO Antichi Vigneti Propri Riserva 1947</t>
  </si>
  <si>
    <t>BAROLO</t>
  </si>
  <si>
    <t>BORGOGNO</t>
  </si>
  <si>
    <t>IPIEBARBORAVR1947AGRBCI9004</t>
  </si>
  <si>
    <t>IPIEBARBORAVR1947AGRBCI9007</t>
  </si>
  <si>
    <t>BAROLO CONTERNO GIACOMO Monfortino riserva 1941</t>
  </si>
  <si>
    <t>Base neck, Excellent Color and Condition, 95pts TastingBook</t>
  </si>
  <si>
    <t>CONTERNO GIACOMO</t>
  </si>
  <si>
    <t>IPIEBARCOGMON1941ALOGGD4001</t>
  </si>
  <si>
    <t>BAROLO CONTERNO GIACOMO Monfortino riserva 1945</t>
  </si>
  <si>
    <t>IPIEBARCOGMON1945ACATBG8001</t>
  </si>
  <si>
    <t>IPIEBARCOGMON1945AZARBI5001</t>
  </si>
  <si>
    <t>BAROLO CONTERNO GIACOMO Monfortino riserva 1952 12,9L</t>
  </si>
  <si>
    <t>OTHER VOLUME</t>
  </si>
  <si>
    <t>OWC, perfect</t>
  </si>
  <si>
    <t>IPIEBARCOGMON1952KLOGICR001</t>
  </si>
  <si>
    <t>BAROLO CONTERNO GIACOMO Monfortino riserva 1955 MAGNUM</t>
  </si>
  <si>
    <t>IN neck, Excellent color and condition. 918 Magnum produced ! 100pts TastingBook</t>
  </si>
  <si>
    <t>IPIEBARCOGMON1955BFTHFLL001</t>
  </si>
  <si>
    <t>BAROLO CONTERNO GIACOMO Monfortino riserva 1958</t>
  </si>
  <si>
    <t>Base neck, Outstanding color and condition, 95pts TastingBook. 2 bt in stock</t>
  </si>
  <si>
    <t>IPIEBARCOGMON1958ALOGID9002</t>
  </si>
  <si>
    <t>BAROLO CONTERNO GIACOMO Monfortino riserva 1958 13,3L</t>
  </si>
  <si>
    <t>OWC, perfect. 95pts TastingBook</t>
  </si>
  <si>
    <t>IPIEBARCOGMON1958KLOGIFD001</t>
  </si>
  <si>
    <t>BAROLO CONTERNO GIACOMO Monfortino riserva 1961</t>
  </si>
  <si>
    <t>Base of Neck, Outstanding condition, 97pts TastingBook. 8 bt in stock</t>
  </si>
  <si>
    <t>IPIEBARCOGMON1961AXXXHIU001</t>
  </si>
  <si>
    <t>IPIEBARCOGMON1961AxORGC7001</t>
  </si>
  <si>
    <t>IPIEBARCOGMON1961ALOGID9003</t>
  </si>
  <si>
    <t>IPIEBARCOGMON1961ALOGID9002</t>
  </si>
  <si>
    <t>IPIEBARCOGMON1961ALOGID9001</t>
  </si>
  <si>
    <t>IPIEBARCOGMON1961ALOGJAC001</t>
  </si>
  <si>
    <t>IPIEBARCOGMON1961ALOGJAC002</t>
  </si>
  <si>
    <t>IPIEBARCOGMON1961ALOGJAC003</t>
  </si>
  <si>
    <t>IPIEBARCOGMON1961ALOGJAC004</t>
  </si>
  <si>
    <t>BAROLO CONTERNO GIACOMO Monfortino riserva 1961 13,5L</t>
  </si>
  <si>
    <t>IPIEBARCOGMON1961KLOGHGJ002</t>
  </si>
  <si>
    <t>BAROLO GIUSEPPE MASCARELLO BUSSIA SOPRANA 1970 3,78L</t>
  </si>
  <si>
    <t>IN the Neck, Outstanding condition, 2 x 3,78L in stok</t>
  </si>
  <si>
    <t>MASCARELLO GIUSEPPE</t>
  </si>
  <si>
    <t>IPIEBARMAGBSO1970CABWHFS001</t>
  </si>
  <si>
    <t>IPIEBARMAGBSO1970CABWHFS002</t>
  </si>
  <si>
    <t>BAROLO MARCHESI DI BAROLO Gia Opera Pia 1947 GRAN RISERVA</t>
  </si>
  <si>
    <t>MARCHESI DI BAROLO</t>
  </si>
  <si>
    <t>IPIEBARMARGRR1947ABWAGEV001</t>
  </si>
  <si>
    <t>IPIEBARMARGRR1947ABWAGEV002</t>
  </si>
  <si>
    <t>IPIEBARMARGRR1947ABWAGEV003</t>
  </si>
  <si>
    <t>IPIEBARMARGRR1947ABWAGEV004</t>
  </si>
  <si>
    <t>IPIEBARMARGRR1947ABWAGEV005</t>
  </si>
  <si>
    <t>IPIEBARMARGRR1947ABWAGEV006</t>
  </si>
  <si>
    <t>BAROLO MARCHESI DI BAROLO Gia Opera Pia 1952</t>
  </si>
  <si>
    <t>IPIEBARMARGOP1952ABWAGF6007</t>
  </si>
  <si>
    <t>BAROLO MARCHESI DI BAROLO Gia Opera Pia 1957</t>
  </si>
  <si>
    <t>IPIEBARMARGOP1957ABWAGEV009</t>
  </si>
  <si>
    <t>BAROLO MASCARELLO BARTOLO 1958 MAGNUM CANNUBI</t>
  </si>
  <si>
    <t>MASCARELLO BARTOLO</t>
  </si>
  <si>
    <t>IPIEBARMABxxx1958BALTCCE001</t>
  </si>
  <si>
    <t>BAROLO MASCARELLO BARTOLO 1964 MAGNUM</t>
  </si>
  <si>
    <t>IPIEBARMABxxx1964BxWACC8001</t>
  </si>
  <si>
    <t>BAROLO MASCARELLO BARTOLO 1967</t>
  </si>
  <si>
    <t>BN/VTS, 11 bt in stock</t>
  </si>
  <si>
    <t>IPIEBARMABxxx1967ABWAGEV010</t>
  </si>
  <si>
    <t>IPIEBARMABxxx1967ABWAGEV011</t>
  </si>
  <si>
    <t>IPIEBARMABxxx1967ABWAGEV019</t>
  </si>
  <si>
    <t>IPIEBARMABxxx1967ABWAGEV020</t>
  </si>
  <si>
    <t>IPIEBARMABxxx1967ABWAGEV012</t>
  </si>
  <si>
    <t>IPIEBARMABxxx1967ABWAGEV013</t>
  </si>
  <si>
    <t>IPIEBARMABxxx1967ABWAGEV014</t>
  </si>
  <si>
    <t>IPIEBARMABxxx1967ABWAGEV015</t>
  </si>
  <si>
    <t>IPIEBARMABxxx1967ABWAGEV016</t>
  </si>
  <si>
    <t>IPIEBARMABxxx1967ABWAGEV017</t>
  </si>
  <si>
    <t>IPIEBARMABxxx1967ABWAGEV018</t>
  </si>
  <si>
    <t>BAROLO MASCARELLO BARTOLO 1968</t>
  </si>
  <si>
    <t>Neck | Vvsbs</t>
  </si>
  <si>
    <t>IPIEBARMABxxx1968ABWAGEV001</t>
  </si>
  <si>
    <t>BAROLO MASCARELLO BARTOLO 1971</t>
  </si>
  <si>
    <t>Neck | Sbs</t>
  </si>
  <si>
    <t>IPIEBARMABxxx1971ABWAGEV001</t>
  </si>
  <si>
    <t>BAROLO MASCARELLO BARTOLO 1989</t>
  </si>
  <si>
    <t>Base of neck, 2 bt in stock</t>
  </si>
  <si>
    <t>IPIEBARMABxxx1989ACATGGN001</t>
  </si>
  <si>
    <t>IPIEBARMABxxx1989ACATGGN002</t>
  </si>
  <si>
    <t>BAROLO MASCARELLO GIUILIO (Cantina) Cannubi 1971</t>
  </si>
  <si>
    <t>Excellent Color and Level</t>
  </si>
  <si>
    <t>MASCARELLO GIULIO</t>
  </si>
  <si>
    <t>IPIEBARMGICAN1971AGRBBFJ001</t>
  </si>
  <si>
    <t>MICHELE MASCARELLO &amp; FIGLI LA MORRA BAROLO CLASSICO 1958 (700ML)</t>
  </si>
  <si>
    <t>Outstanding color and condition</t>
  </si>
  <si>
    <t>MASCARELLO MICHELE</t>
  </si>
  <si>
    <t>IPIEBARMAMxxx1958AXXXBGA001</t>
  </si>
  <si>
    <t>GRAPPA ROMANO LEVI</t>
  </si>
  <si>
    <t>SPIRITS</t>
  </si>
  <si>
    <t>GRAPPA</t>
  </si>
  <si>
    <t>ROMANO LEVI</t>
  </si>
  <si>
    <t>ISPEGRPROMxxx1992AxEBBLQ001</t>
  </si>
  <si>
    <t>GRAPPA ROMANO LEVI 5 stella</t>
  </si>
  <si>
    <t>ISPEGRPROMxxx1999AxEBBLK001</t>
  </si>
  <si>
    <t>ISPEGRPROMxxx1999AxEBBLK003</t>
  </si>
  <si>
    <t>GRAPPA ROMANO LEVI BASILICO E LEMONE Gradi 52</t>
  </si>
  <si>
    <t>ISPEGRPROMG522003AxEBBLK001</t>
  </si>
  <si>
    <t>GRAPPA ROMANO LEVI DEICE FIORI</t>
  </si>
  <si>
    <t>ISPEGRPROMxxx1999AxEBBLK005</t>
  </si>
  <si>
    <t>GRAPPA ROMANO LEVI FRAME</t>
  </si>
  <si>
    <t>ISPEGRPROMxxx1999AxEBBLK002</t>
  </si>
  <si>
    <t>GRAPPA ROMANO LEVI NOVE FIORI</t>
  </si>
  <si>
    <t>ISPEGRPROMxxx1999AxEBBLK004</t>
  </si>
  <si>
    <t>GRAPPA ROMANO LEVI originale Galletto Gradi 51</t>
  </si>
  <si>
    <t>ISPEGRPROMG512003AxEBBLK002</t>
  </si>
  <si>
    <t>ISPEGRPROMG512003AxEBBLK003</t>
  </si>
  <si>
    <t>GRAPPA ROMANO LEVI Salvia , cimo e Camomilla Gradi 51</t>
  </si>
  <si>
    <t>ISPEGRPROMG512003AxEBBLK001</t>
  </si>
  <si>
    <t>BRUNELLO DI MONTALCINO Case Basse Gianfranco SOLDERA 1985</t>
  </si>
  <si>
    <t>Base of neck, Outstanding Color and Condition. 97pts TastingBook</t>
  </si>
  <si>
    <t>TOSCAN</t>
  </si>
  <si>
    <t>BRUNELLO DI MONTALCINO</t>
  </si>
  <si>
    <t>SOLDERA</t>
  </si>
  <si>
    <t>ITOSBRUSOLCBA1985ATIBIKH001</t>
  </si>
  <si>
    <t>CARONI CASK 15 years 2000 Cask n°R3790 - One of 214 - bottled 2015 Paul Ullrich AG</t>
  </si>
  <si>
    <t>One of 214 bottle produced - bottled 2015 - Original CARD BOX</t>
  </si>
  <si>
    <t>OTHER</t>
  </si>
  <si>
    <t>RHUM</t>
  </si>
  <si>
    <t>CARONI</t>
  </si>
  <si>
    <t>OSPERHUCARxxx2000AxIDIF6001</t>
  </si>
  <si>
    <t>CARONI CASK 20 years 1996 Cask n°R3718 - One of 270 - bottled 2016 Stefano Cremaschi</t>
  </si>
  <si>
    <t>One of 270 bottle produced - bottled 2016 - Original CARD BOX</t>
  </si>
  <si>
    <t>OSPERHUCARxxx1996AxIDIF6001</t>
  </si>
  <si>
    <t>CARONI CASK 20 years 1996 Single Cask n°R3721 - One of 250 - bottled 2016 Old Whisky FIRE</t>
  </si>
  <si>
    <t>One of 250 bottle produced - bottled 2016 - Original CARD BOX</t>
  </si>
  <si>
    <t>OSPERHUCARxxx1996AxIDIF6002</t>
  </si>
  <si>
    <t>CVNE VINA REAL Reserva Especial 1951 demie</t>
  </si>
  <si>
    <t>DEMI-BOUTEILLE (37,5CL)</t>
  </si>
  <si>
    <t>SPAIN</t>
  </si>
  <si>
    <t>RIOJA</t>
  </si>
  <si>
    <t>CVNE</t>
  </si>
  <si>
    <t>SRIORIOCVNVIE1951FJHCGKR003</t>
  </si>
  <si>
    <t>SRIORIOCVNVIE1951FJHCGKR004</t>
  </si>
  <si>
    <t>SRIORIOCVNVIE1951FJHCGKR005</t>
  </si>
  <si>
    <t>SRIORIOCVNVIE1951FJHCGKR006</t>
  </si>
  <si>
    <t>CVNE VINA REAL Reserva Especial 1952</t>
  </si>
  <si>
    <t>SRIORIOCVNVIE1952ACATGKU001</t>
  </si>
  <si>
    <t>R LOPEZ DE HEREDIA VINA TONDONIA GRAN RESERVA 1942</t>
  </si>
  <si>
    <t>High Shoulder, Excellent color, level and condition</t>
  </si>
  <si>
    <t>R LOPEZ DE HEREDIA</t>
  </si>
  <si>
    <t>SRIORIOLOPVTG1942AXXXIGO001</t>
  </si>
  <si>
    <t>VEGA SICILIA UNICO 1941</t>
  </si>
  <si>
    <t>Base of Neck, Excellent color, dirty faded label, 2 bt in stock</t>
  </si>
  <si>
    <t>RIBERAS DEL DUERO BODEGAS</t>
  </si>
  <si>
    <t>SRIORIORIBVSU1941ADSAGDD001</t>
  </si>
  <si>
    <t>SRIORIORIBVSU1941ADSAGDD002</t>
  </si>
  <si>
    <t>VEGA SICILIA UNICO 1947</t>
  </si>
  <si>
    <t>Base of Neck, Excellent color, 3 bt in stock</t>
  </si>
  <si>
    <t>SRIORIORIBVSU1947AJMGGH4001</t>
  </si>
  <si>
    <t>SRIORIORIBVSU1947ADSAGDD001</t>
  </si>
  <si>
    <t>SRIORIORIBVSU1947ASETIJO001</t>
  </si>
  <si>
    <t>VEGA SICILIA UNICO 1953</t>
  </si>
  <si>
    <t>In the Neck, Excellent dirty label, excellent color, 6 bt of 1953 in stock</t>
  </si>
  <si>
    <t>SRIORIORIBVSU1953ACATGAM001</t>
  </si>
  <si>
    <t>Top Shoulder, Very good label, excellent color, 6 bt of 1953 in stock</t>
  </si>
  <si>
    <t>SRIORIORIBVSU1953AxMUFL4001</t>
  </si>
  <si>
    <t>Base of Neck, dirty label, excellent color, 6 bt of 1953 in stock</t>
  </si>
  <si>
    <t>SRIORIORIBVSU1953AJMGGGJ001</t>
  </si>
  <si>
    <t>SRIORIORIBVSU1953AJMGGGJ002</t>
  </si>
  <si>
    <t>Very High Shoulder, Very good label, excellent color, 6 bt of 1953 in stock</t>
  </si>
  <si>
    <t>SRIORIORIBVSU1953AJMGGGJ003</t>
  </si>
  <si>
    <t>Very Top Shoulder, Excellent label, color and condition, 6 bt of 1953 in stock</t>
  </si>
  <si>
    <t>SRIORIORIBVSU1953ASETIJO001</t>
  </si>
  <si>
    <t>VEGA SICILIA UNICO 1959</t>
  </si>
  <si>
    <t>Very Top Shoulder,Good label color and condition</t>
  </si>
  <si>
    <t>SRIORIORIBVSU1959AJMGGEV001</t>
  </si>
  <si>
    <t>VEGA SICILIA UNICO 1960 MAGNUM</t>
  </si>
  <si>
    <t>IN the Neck - OWC - Outstanding condition</t>
  </si>
  <si>
    <t>SRIORIORIBVSU1960BSETHKS001</t>
  </si>
  <si>
    <t>VEGA SICILIA UNICO 1962</t>
  </si>
  <si>
    <t>Top Shoulder,Good label a bit stain on the left side. Excellent color</t>
  </si>
  <si>
    <t>SRIORIORIBVSU1962ASETIJO001</t>
  </si>
  <si>
    <t>Very Top Shoulder, outstanding label, color and condition (1)</t>
  </si>
  <si>
    <t>SRIORIORIBVSU1962ASETIJO002</t>
  </si>
  <si>
    <t>Very Top Shoulder, Outstanding label, color and condition (2)</t>
  </si>
  <si>
    <t>SRIORIORIBVSU1962ASETIK6001</t>
  </si>
  <si>
    <t>VEGA SICILIA UNICO 1962 MAGNUM</t>
  </si>
  <si>
    <t>SRIORIORIBVSU1962BSETHKS002</t>
  </si>
  <si>
    <t>VEGA SICILIA UNICO 1964</t>
  </si>
  <si>
    <t>Base of Neck, Excellent color and capsule. Label highly damage (4 bt in stock label condition)</t>
  </si>
  <si>
    <t>SRIORIORIBVSU1964AJMGGHL001</t>
  </si>
  <si>
    <t>Base of Neck, Excellent color and capsule. Label highly damage but vintage visible (4 bt in stock label condition)</t>
  </si>
  <si>
    <t>SRIORIORIBVSU1964AJMGGHL003</t>
  </si>
  <si>
    <t>SRIORIORIBVSU1964AJMGGHL006</t>
  </si>
  <si>
    <t>Base of Neck, Excellent color and capsule. NO Label (4 bt in stock label condition)</t>
  </si>
  <si>
    <t>SRIORIORIBVSU1964AJMGGHL008</t>
  </si>
  <si>
    <t>Base of Neck, Excellent color and condition</t>
  </si>
  <si>
    <t>SRIORIORIBVSU1964ABWAGJP001</t>
  </si>
  <si>
    <t>IN the Neck, Excellent color and condition. Protusion cork</t>
  </si>
  <si>
    <t>SRIORIORIBVSU1964ABWAGJP002</t>
  </si>
  <si>
    <t>VEGA SICILIA UNICO 1966</t>
  </si>
  <si>
    <t>SRIORIORIBVSU1966AxIDGJ5001</t>
  </si>
  <si>
    <t>VEGA SICILIA UNICO 1968</t>
  </si>
  <si>
    <t>Very Top Shoulder, Excellent color and condition. Label lightly scuffed</t>
  </si>
  <si>
    <t>SRIORIORIBVSU1968AJHCGKQ001</t>
  </si>
  <si>
    <t>VEGA SICILIA UNICO 1968 MAGNUM</t>
  </si>
  <si>
    <t>Base of Neck - OWC - Outstanding condition. EX Sothebys</t>
  </si>
  <si>
    <t>SRIORIORIBVSU1968BSOHHFI001</t>
  </si>
  <si>
    <t>VEGA SICILIA UNICO 1970 MAGNUM</t>
  </si>
  <si>
    <t>IN the Neck - OWC - Outstanding condition. EX Sothebys</t>
  </si>
  <si>
    <t>SRIORIORIBVSU1970BSOHGEM001</t>
  </si>
  <si>
    <t>VEGA SICILIA UNICO 1972 MAGNUM</t>
  </si>
  <si>
    <t>Base of Neck. Excellent color and label. Cork depressed</t>
  </si>
  <si>
    <t>SRIORIORIBVSU1972BJHCGKQ002</t>
  </si>
  <si>
    <t>Base of Neck, Outstanding condition</t>
  </si>
  <si>
    <t>SRIORIORIBVSU1972BSETHKS001</t>
  </si>
  <si>
    <t>VEGA SICILIA UNICO 1974</t>
  </si>
  <si>
    <t>Very High Shoulder, scuffed label, excellent color and capsule</t>
  </si>
  <si>
    <t>SRIORIORIBVSU1974AxEBGGO001</t>
  </si>
  <si>
    <t>Very High Shoulder, excellent color and capsule</t>
  </si>
  <si>
    <t>SRIORIORIBVSU1974AMCBGKR005</t>
  </si>
  <si>
    <t>VEGA SICILIA UNICO 1975 MAGNUM</t>
  </si>
  <si>
    <t>SRIORIORIBVSU1975BSOHHFI001</t>
  </si>
  <si>
    <t>VEGA SICILIA UNICO 1976 MAGNUM</t>
  </si>
  <si>
    <t>SRIORIORIBVSU1976BSOHHFI001</t>
  </si>
  <si>
    <t>VEGA SICILIA UNICO 1979 MAGNUM</t>
  </si>
  <si>
    <t>SRIORIORIBVSU1979BSOHGEM001</t>
  </si>
  <si>
    <t>VEGA SICILIA UNICO 1980 MAGNUM</t>
  </si>
  <si>
    <t>Very Top Shoulder - OWC - Outstanding condition</t>
  </si>
  <si>
    <t>SRIORIORIBVSU1980BRSBHD4001</t>
  </si>
  <si>
    <t>VEGA SICILIA UNICO 1981 MAGNUM</t>
  </si>
  <si>
    <t>SRIORIORIBVSU1981BSOHHFI001</t>
  </si>
  <si>
    <t>VEGA SICILIA UNICO 1982 MAGNUM</t>
  </si>
  <si>
    <t>SRIORIORIBVSU1982BxBRHC5001</t>
  </si>
  <si>
    <t>VEGA SICILIA UNICO 1983</t>
  </si>
  <si>
    <t>High to mid shoulder, excellent color and label</t>
  </si>
  <si>
    <t>SRIORIORIBVSU1983AMCBGKR001</t>
  </si>
  <si>
    <t>VEGA SICILIA UNICO 1985 DOUBLE MAGNUM</t>
  </si>
  <si>
    <t>In the Neck, Outstanding condition. EX Sothebys</t>
  </si>
  <si>
    <t>SRIORIORIBVSU1985CSOHGEM002</t>
  </si>
  <si>
    <t>VEGA SICILIA UNICO 1985 MAGNUM</t>
  </si>
  <si>
    <t>SRIORIORIBVSU1985BSOHHFI001</t>
  </si>
  <si>
    <t>VEGA SICILIA UNICO 1986</t>
  </si>
  <si>
    <t>SRIORIORIBVSU1986AMCBGKR001</t>
  </si>
  <si>
    <t>VEGA SICILIA UNICO 1986 MAGNUM</t>
  </si>
  <si>
    <t>SRIORIORIBVSU1986BSOHHFI001</t>
  </si>
  <si>
    <t>VEGA SICILIA UNICO 1987 MAGNUM</t>
  </si>
  <si>
    <t>Base of Neck- OWC - Outstanding condition. EX Zachys</t>
  </si>
  <si>
    <t>SRIORIORIBVSU1987BZACHLF001</t>
  </si>
  <si>
    <t>VEGA SICILIA UNICO 1989 MAGNUM</t>
  </si>
  <si>
    <t>SRIORIORIBVSU1989BSOHHFI001</t>
  </si>
  <si>
    <t>VEGA SICILIA UNICO 1999 MAGNUM</t>
  </si>
  <si>
    <t>SRIORIORIBVSU1999BSOHGEM001</t>
  </si>
  <si>
    <t>VEGA SICILIA UNICO 2000 MAGNUM</t>
  </si>
  <si>
    <t>SRIORIORIBVSU2000BSOHGEM001</t>
  </si>
  <si>
    <t>VEGA SICILIA UNICO 2002 MAGNUM</t>
  </si>
  <si>
    <t>SRIORIORIBVSU2002BSOHGEM001</t>
  </si>
  <si>
    <t>YGAY Riserva Especial 1925</t>
  </si>
  <si>
    <t>Base of Neck, Outstanding condition in his very rare Original Carton Box</t>
  </si>
  <si>
    <t>MARQUES DE MURRIETA</t>
  </si>
  <si>
    <t>SRIORIOMAQYGA1925AARSILN001</t>
  </si>
  <si>
    <t>WHISKY Campbeltown Single Malt - Longrown 25 years old, 1974</t>
  </si>
  <si>
    <t>Outstanding condition. In Original Wooden box</t>
  </si>
  <si>
    <t>UK</t>
  </si>
  <si>
    <t>SCOTLAND</t>
  </si>
  <si>
    <t>WHISKY</t>
  </si>
  <si>
    <t>CAMPBELTOWN</t>
  </si>
  <si>
    <t>KSCOWHICAMTWE1974AxSTHEO001</t>
  </si>
  <si>
    <t>WHISKY GLEN ALBYN 10 YEARS, OLD, 60'S, 70's</t>
  </si>
  <si>
    <t>0</t>
  </si>
  <si>
    <t>GLEN ALBYN</t>
  </si>
  <si>
    <t>KSCOWHIGLATEN1970ANICCGI001</t>
  </si>
  <si>
    <t>WHISKEY WELLER and sons, Kentucky Straight Bourbon original 107</t>
  </si>
  <si>
    <t>Original plastic box</t>
  </si>
  <si>
    <t>USA</t>
  </si>
  <si>
    <t>KENTUCKY</t>
  </si>
  <si>
    <t>WELLER</t>
  </si>
  <si>
    <t>UKENWHIWELSEV1982AxSTHEO001</t>
  </si>
</sst>
</file>

<file path=xl/styles.xml><?xml version="1.0" encoding="utf-8"?>
<styleSheet xmlns="http://schemas.openxmlformats.org/spreadsheetml/2006/main">
  <numFmts count="1">
    <numFmt numFmtId="164" formatCode="0 &quot;€&quot;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single"/>
      <sz val="11"/>
      <color rgb="FF0563C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89182D"/>
        <bgColor rgb="FF000000"/>
      </patternFill>
    </fill>
    <fill>
      <patternFill patternType="solid">
        <fgColor rgb="FFF2EDE7"/>
        <bgColor rgb="FF000000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3" borderId="1" applyFont="0" applyNumberFormat="0" applyFill="1" applyBorder="1" applyAlignment="0"/>
    <xf xfId="0" fontId="0" numFmtId="1" fillId="0" borderId="1" applyFont="0" applyNumberFormat="1" applyFill="0" applyBorder="1" applyAlignment="1">
      <alignment horizontal="center" vertical="bottom" textRotation="0" wrapText="false" shrinkToFit="false"/>
    </xf>
    <xf xfId="0" fontId="0" numFmtId="1" fillId="3" borderId="1" applyFont="0" applyNumberFormat="1" applyFill="1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164" fillId="3" borderId="1" applyFont="0" applyNumberFormat="1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0" fillId="3" borderId="1" applyFont="0" applyNumberFormat="0" applyFill="1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0"/>
    <xf xfId="0" fontId="2" numFmtId="0" fillId="3" borderId="1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tamaguswines.com/product/margaux-1953/" TargetMode="External"/><Relationship Id="rId_hyperlink_2" Type="http://schemas.openxmlformats.org/officeDocument/2006/relationships/hyperlink" Target="https://rotamaguswines.com/product/palmer-1955/" TargetMode="External"/><Relationship Id="rId_hyperlink_3" Type="http://schemas.openxmlformats.org/officeDocument/2006/relationships/hyperlink" Target="https://rotamaguswines.com/product/palmer-1959/" TargetMode="External"/><Relationship Id="rId_hyperlink_4" Type="http://schemas.openxmlformats.org/officeDocument/2006/relationships/hyperlink" Target="https://rotamaguswines.com/product/palmer-1961-owc12/" TargetMode="External"/><Relationship Id="rId_hyperlink_5" Type="http://schemas.openxmlformats.org/officeDocument/2006/relationships/hyperlink" Target="https://rotamaguswines.com/product/darmailhacq-1916/" TargetMode="External"/><Relationship Id="rId_hyperlink_6" Type="http://schemas.openxmlformats.org/officeDocument/2006/relationships/hyperlink" Target="https://rotamaguswines.com/product/darmailhacq-1916-2/" TargetMode="External"/><Relationship Id="rId_hyperlink_7" Type="http://schemas.openxmlformats.org/officeDocument/2006/relationships/hyperlink" Target="https://rotamaguswines.com/product/lafite-rothschild-1902/" TargetMode="External"/><Relationship Id="rId_hyperlink_8" Type="http://schemas.openxmlformats.org/officeDocument/2006/relationships/hyperlink" Target="https://rotamaguswines.com/product/lafite-rothschild-1953/" TargetMode="External"/><Relationship Id="rId_hyperlink_9" Type="http://schemas.openxmlformats.org/officeDocument/2006/relationships/hyperlink" Target="https://rotamaguswines.com/product/lafite-rothschild-1953-2/" TargetMode="External"/><Relationship Id="rId_hyperlink_10" Type="http://schemas.openxmlformats.org/officeDocument/2006/relationships/hyperlink" Target="https://rotamaguswines.com/product/lafite-rothschild-1972/" TargetMode="External"/><Relationship Id="rId_hyperlink_11" Type="http://schemas.openxmlformats.org/officeDocument/2006/relationships/hyperlink" Target="https://rotamaguswines.com/product/lafite-rothschild-1982/" TargetMode="External"/><Relationship Id="rId_hyperlink_12" Type="http://schemas.openxmlformats.org/officeDocument/2006/relationships/hyperlink" Target="https://rotamaguswines.com/product/latour-1922/" TargetMode="External"/><Relationship Id="rId_hyperlink_13" Type="http://schemas.openxmlformats.org/officeDocument/2006/relationships/hyperlink" Target="https://rotamaguswines.com/product/latour-1947/" TargetMode="External"/><Relationship Id="rId_hyperlink_14" Type="http://schemas.openxmlformats.org/officeDocument/2006/relationships/hyperlink" Target="https://rotamaguswines.com/product/latour-1966/" TargetMode="External"/><Relationship Id="rId_hyperlink_15" Type="http://schemas.openxmlformats.org/officeDocument/2006/relationships/hyperlink" Target="https://rotamaguswines.com/product/latour-1982/" TargetMode="External"/><Relationship Id="rId_hyperlink_16" Type="http://schemas.openxmlformats.org/officeDocument/2006/relationships/hyperlink" Target="https://rotamaguswines.com/product/latour-1988/" TargetMode="External"/><Relationship Id="rId_hyperlink_17" Type="http://schemas.openxmlformats.org/officeDocument/2006/relationships/hyperlink" Target="https://rotamaguswines.com/product/latour-1991/" TargetMode="External"/><Relationship Id="rId_hyperlink_18" Type="http://schemas.openxmlformats.org/officeDocument/2006/relationships/hyperlink" Target="https://rotamaguswines.com/product/latour-1996/" TargetMode="External"/><Relationship Id="rId_hyperlink_19" Type="http://schemas.openxmlformats.org/officeDocument/2006/relationships/hyperlink" Target="https://rotamaguswines.com/product/latour-1997/" TargetMode="External"/><Relationship Id="rId_hyperlink_20" Type="http://schemas.openxmlformats.org/officeDocument/2006/relationships/hyperlink" Target="https://rotamaguswines.com/product/lynch-bages-1953/" TargetMode="External"/><Relationship Id="rId_hyperlink_21" Type="http://schemas.openxmlformats.org/officeDocument/2006/relationships/hyperlink" Target="https://rotamaguswines.com/product/lynch-bages-1953-2/" TargetMode="External"/><Relationship Id="rId_hyperlink_22" Type="http://schemas.openxmlformats.org/officeDocument/2006/relationships/hyperlink" Target="https://rotamaguswines.com/product/lynch-bages-1953-3/" TargetMode="External"/><Relationship Id="rId_hyperlink_23" Type="http://schemas.openxmlformats.org/officeDocument/2006/relationships/hyperlink" Target="https://rotamaguswines.com/product/lynch-bages-1953-4/" TargetMode="External"/><Relationship Id="rId_hyperlink_24" Type="http://schemas.openxmlformats.org/officeDocument/2006/relationships/hyperlink" Target="https://rotamaguswines.com/product/lynch-bages-1953-5/" TargetMode="External"/><Relationship Id="rId_hyperlink_25" Type="http://schemas.openxmlformats.org/officeDocument/2006/relationships/hyperlink" Target="https://rotamaguswines.com/product/lynch-bages-1953-6/" TargetMode="External"/><Relationship Id="rId_hyperlink_26" Type="http://schemas.openxmlformats.org/officeDocument/2006/relationships/hyperlink" Target="https://rotamaguswines.com/product/mouton-rothschild-1928/" TargetMode="External"/><Relationship Id="rId_hyperlink_27" Type="http://schemas.openxmlformats.org/officeDocument/2006/relationships/hyperlink" Target="https://rotamaguswines.com/product/mouton-rothschild-1934/" TargetMode="External"/><Relationship Id="rId_hyperlink_28" Type="http://schemas.openxmlformats.org/officeDocument/2006/relationships/hyperlink" Target="https://rotamaguswines.com/product/mouton-rothschild-1950/" TargetMode="External"/><Relationship Id="rId_hyperlink_29" Type="http://schemas.openxmlformats.org/officeDocument/2006/relationships/hyperlink" Target="https://rotamaguswines.com/product/mouton-rothschild-1952/" TargetMode="External"/><Relationship Id="rId_hyperlink_30" Type="http://schemas.openxmlformats.org/officeDocument/2006/relationships/hyperlink" Target="https://rotamaguswines.com/product/mouton-rothschild-1952-2/" TargetMode="External"/><Relationship Id="rId_hyperlink_31" Type="http://schemas.openxmlformats.org/officeDocument/2006/relationships/hyperlink" Target="https://rotamaguswines.com/product/mouton-rothschild-1957/" TargetMode="External"/><Relationship Id="rId_hyperlink_32" Type="http://schemas.openxmlformats.org/officeDocument/2006/relationships/hyperlink" Target="https://rotamaguswines.com/product/mouton-rothschild-1957-2/" TargetMode="External"/><Relationship Id="rId_hyperlink_33" Type="http://schemas.openxmlformats.org/officeDocument/2006/relationships/hyperlink" Target="https://rotamaguswines.com/product/mouton-rothschild-1957-4/" TargetMode="External"/><Relationship Id="rId_hyperlink_34" Type="http://schemas.openxmlformats.org/officeDocument/2006/relationships/hyperlink" Target="https://rotamaguswines.com/product/mouton-rothschild-1964/" TargetMode="External"/><Relationship Id="rId_hyperlink_35" Type="http://schemas.openxmlformats.org/officeDocument/2006/relationships/hyperlink" Target="https://rotamaguswines.com/product/mouton-rothschild-1964-2/" TargetMode="External"/><Relationship Id="rId_hyperlink_36" Type="http://schemas.openxmlformats.org/officeDocument/2006/relationships/hyperlink" Target="https://rotamaguswines.com/product/mouton-rothschild-1964-3/" TargetMode="External"/><Relationship Id="rId_hyperlink_37" Type="http://schemas.openxmlformats.org/officeDocument/2006/relationships/hyperlink" Target="https://rotamaguswines.com/product/mouton-rothschild-1964-4/" TargetMode="External"/><Relationship Id="rId_hyperlink_38" Type="http://schemas.openxmlformats.org/officeDocument/2006/relationships/hyperlink" Target="https://rotamaguswines.com/product/mouton-rothschild-1964-5/" TargetMode="External"/><Relationship Id="rId_hyperlink_39" Type="http://schemas.openxmlformats.org/officeDocument/2006/relationships/hyperlink" Target="https://rotamaguswines.com/product/mouton-rothschild-1964-6/" TargetMode="External"/><Relationship Id="rId_hyperlink_40" Type="http://schemas.openxmlformats.org/officeDocument/2006/relationships/hyperlink" Target="https://rotamaguswines.com/product/mouton-rothschild-1965/" TargetMode="External"/><Relationship Id="rId_hyperlink_41" Type="http://schemas.openxmlformats.org/officeDocument/2006/relationships/hyperlink" Target="https://rotamaguswines.com/product/mouton-rothschild-1965-2/" TargetMode="External"/><Relationship Id="rId_hyperlink_42" Type="http://schemas.openxmlformats.org/officeDocument/2006/relationships/hyperlink" Target="https://rotamaguswines.com/product/mouton-rothschild-1965-3/" TargetMode="External"/><Relationship Id="rId_hyperlink_43" Type="http://schemas.openxmlformats.org/officeDocument/2006/relationships/hyperlink" Target="https://rotamaguswines.com/product/mouton-rothschild-1965-4/" TargetMode="External"/><Relationship Id="rId_hyperlink_44" Type="http://schemas.openxmlformats.org/officeDocument/2006/relationships/hyperlink" Target="https://rotamaguswines.com/product/mouton-rothschild-1965-5/" TargetMode="External"/><Relationship Id="rId_hyperlink_45" Type="http://schemas.openxmlformats.org/officeDocument/2006/relationships/hyperlink" Target="https://rotamaguswines.com/product/mouton-rothschild-1966-magnum/" TargetMode="External"/><Relationship Id="rId_hyperlink_46" Type="http://schemas.openxmlformats.org/officeDocument/2006/relationships/hyperlink" Target="https://rotamaguswines.com/product/mouton-rothschild-1967-3/" TargetMode="External"/><Relationship Id="rId_hyperlink_47" Type="http://schemas.openxmlformats.org/officeDocument/2006/relationships/hyperlink" Target="https://rotamaguswines.com/product/mouton-rothschild-1967-2/" TargetMode="External"/><Relationship Id="rId_hyperlink_48" Type="http://schemas.openxmlformats.org/officeDocument/2006/relationships/hyperlink" Target="https://rotamaguswines.com/product/mouton-rothschild-1967-magnum/" TargetMode="External"/><Relationship Id="rId_hyperlink_49" Type="http://schemas.openxmlformats.org/officeDocument/2006/relationships/hyperlink" Target="https://rotamaguswines.com/product/mouton-rothschild-1968/" TargetMode="External"/><Relationship Id="rId_hyperlink_50" Type="http://schemas.openxmlformats.org/officeDocument/2006/relationships/hyperlink" Target="https://rotamaguswines.com/product/mouton-rothschild-1968-2/" TargetMode="External"/><Relationship Id="rId_hyperlink_51" Type="http://schemas.openxmlformats.org/officeDocument/2006/relationships/hyperlink" Target="https://rotamaguswines.com/product/mouton-rothschild-1969/" TargetMode="External"/><Relationship Id="rId_hyperlink_52" Type="http://schemas.openxmlformats.org/officeDocument/2006/relationships/hyperlink" Target="https://rotamaguswines.com/product/mouton-rothschild-1969-2/" TargetMode="External"/><Relationship Id="rId_hyperlink_53" Type="http://schemas.openxmlformats.org/officeDocument/2006/relationships/hyperlink" Target="https://rotamaguswines.com/product/mouton-rothschild-1969-magnum/" TargetMode="External"/><Relationship Id="rId_hyperlink_54" Type="http://schemas.openxmlformats.org/officeDocument/2006/relationships/hyperlink" Target="https://rotamaguswines.com/product/mouton-rothschild-1970/" TargetMode="External"/><Relationship Id="rId_hyperlink_55" Type="http://schemas.openxmlformats.org/officeDocument/2006/relationships/hyperlink" Target="https://rotamaguswines.com/product/mouton-rothschild-1971-2/" TargetMode="External"/><Relationship Id="rId_hyperlink_56" Type="http://schemas.openxmlformats.org/officeDocument/2006/relationships/hyperlink" Target="https://rotamaguswines.com/product/mouton-rothschild-1971/" TargetMode="External"/><Relationship Id="rId_hyperlink_57" Type="http://schemas.openxmlformats.org/officeDocument/2006/relationships/hyperlink" Target="https://rotamaguswines.com/product/mouton-rothschild-1972/" TargetMode="External"/><Relationship Id="rId_hyperlink_58" Type="http://schemas.openxmlformats.org/officeDocument/2006/relationships/hyperlink" Target="https://rotamaguswines.com/product/mouton-rothschild-1972-2/" TargetMode="External"/><Relationship Id="rId_hyperlink_59" Type="http://schemas.openxmlformats.org/officeDocument/2006/relationships/hyperlink" Target="https://rotamaguswines.com/product/mouton-rothschild-1972-3/" TargetMode="External"/><Relationship Id="rId_hyperlink_60" Type="http://schemas.openxmlformats.org/officeDocument/2006/relationships/hyperlink" Target="https://rotamaguswines.com/product/mouton-rothschild-1973/" TargetMode="External"/><Relationship Id="rId_hyperlink_61" Type="http://schemas.openxmlformats.org/officeDocument/2006/relationships/hyperlink" Target="https://rotamaguswines.com/product/mouton-rothschild-1978/" TargetMode="External"/><Relationship Id="rId_hyperlink_62" Type="http://schemas.openxmlformats.org/officeDocument/2006/relationships/hyperlink" Target="https://rotamaguswines.com/product/mouton-rothschild-1978-sc/" TargetMode="External"/><Relationship Id="rId_hyperlink_63" Type="http://schemas.openxmlformats.org/officeDocument/2006/relationships/hyperlink" Target="https://rotamaguswines.com/product/mouton-rothschild-1978-sc-2/" TargetMode="External"/><Relationship Id="rId_hyperlink_64" Type="http://schemas.openxmlformats.org/officeDocument/2006/relationships/hyperlink" Target="https://rotamaguswines.com/product/mouton-rothschild-1978-sc-3/" TargetMode="External"/><Relationship Id="rId_hyperlink_65" Type="http://schemas.openxmlformats.org/officeDocument/2006/relationships/hyperlink" Target="https://rotamaguswines.com/product/mouton-rothschild-1978-sc-9/" TargetMode="External"/><Relationship Id="rId_hyperlink_66" Type="http://schemas.openxmlformats.org/officeDocument/2006/relationships/hyperlink" Target="https://rotamaguswines.com/product/mouton-rothschild-1978-sc-4/" TargetMode="External"/><Relationship Id="rId_hyperlink_67" Type="http://schemas.openxmlformats.org/officeDocument/2006/relationships/hyperlink" Target="https://rotamaguswines.com/product/mouton-rothschild-1978-sc-5/" TargetMode="External"/><Relationship Id="rId_hyperlink_68" Type="http://schemas.openxmlformats.org/officeDocument/2006/relationships/hyperlink" Target="https://rotamaguswines.com/product/mouton-rothschild-1978-sc-6/" TargetMode="External"/><Relationship Id="rId_hyperlink_69" Type="http://schemas.openxmlformats.org/officeDocument/2006/relationships/hyperlink" Target="https://rotamaguswines.com/product/mouton-rothschild-1978-sc-7/" TargetMode="External"/><Relationship Id="rId_hyperlink_70" Type="http://schemas.openxmlformats.org/officeDocument/2006/relationships/hyperlink" Target="https://rotamaguswines.com/product/mouton-rothschild-1978-sc-8/" TargetMode="External"/><Relationship Id="rId_hyperlink_71" Type="http://schemas.openxmlformats.org/officeDocument/2006/relationships/hyperlink" Target="https://rotamaguswines.com/product/mouton-rothschild-1982-magnum/" TargetMode="External"/><Relationship Id="rId_hyperlink_72" Type="http://schemas.openxmlformats.org/officeDocument/2006/relationships/hyperlink" Target="https://rotamaguswines.com/product/mouton-rothschild-1984/" TargetMode="External"/><Relationship Id="rId_hyperlink_73" Type="http://schemas.openxmlformats.org/officeDocument/2006/relationships/hyperlink" Target="https://rotamaguswines.com/product/mouton-rothschild-1986/" TargetMode="External"/><Relationship Id="rId_hyperlink_74" Type="http://schemas.openxmlformats.org/officeDocument/2006/relationships/hyperlink" Target="https://rotamaguswines.com/product/mouton-rothschild-1986-magnum/" TargetMode="External"/><Relationship Id="rId_hyperlink_75" Type="http://schemas.openxmlformats.org/officeDocument/2006/relationships/hyperlink" Target="https://rotamaguswines.com/product/mouton-rothschild-1987/" TargetMode="External"/><Relationship Id="rId_hyperlink_76" Type="http://schemas.openxmlformats.org/officeDocument/2006/relationships/hyperlink" Target="https://rotamaguswines.com/product/mouton-rothschild-1987-2/" TargetMode="External"/><Relationship Id="rId_hyperlink_77" Type="http://schemas.openxmlformats.org/officeDocument/2006/relationships/hyperlink" Target="https://rotamaguswines.com/product/mouton-rothschild-1988/" TargetMode="External"/><Relationship Id="rId_hyperlink_78" Type="http://schemas.openxmlformats.org/officeDocument/2006/relationships/hyperlink" Target="https://rotamaguswines.com/product/mouton-rothschild-1988-2/" TargetMode="External"/><Relationship Id="rId_hyperlink_79" Type="http://schemas.openxmlformats.org/officeDocument/2006/relationships/hyperlink" Target="https://rotamaguswines.com/product/mouton-rothschild-1992/" TargetMode="External"/><Relationship Id="rId_hyperlink_80" Type="http://schemas.openxmlformats.org/officeDocument/2006/relationships/hyperlink" Target="https://rotamaguswines.com/product/mouton-rothschild-1992-magnum/" TargetMode="External"/><Relationship Id="rId_hyperlink_81" Type="http://schemas.openxmlformats.org/officeDocument/2006/relationships/hyperlink" Target="https://rotamaguswines.com/product/mouton-rothschild-1993/" TargetMode="External"/><Relationship Id="rId_hyperlink_82" Type="http://schemas.openxmlformats.org/officeDocument/2006/relationships/hyperlink" Target="https://rotamaguswines.com/product/mouton-rothschild-1993-magnum/" TargetMode="External"/><Relationship Id="rId_hyperlink_83" Type="http://schemas.openxmlformats.org/officeDocument/2006/relationships/hyperlink" Target="https://rotamaguswines.com/product/mouton-rothschild-1994/" TargetMode="External"/><Relationship Id="rId_hyperlink_84" Type="http://schemas.openxmlformats.org/officeDocument/2006/relationships/hyperlink" Target="https://rotamaguswines.com/product/mouton-rothschild-1994-2/" TargetMode="External"/><Relationship Id="rId_hyperlink_85" Type="http://schemas.openxmlformats.org/officeDocument/2006/relationships/hyperlink" Target="https://rotamaguswines.com/product/mouton-rothschild-1994-3/" TargetMode="External"/><Relationship Id="rId_hyperlink_86" Type="http://schemas.openxmlformats.org/officeDocument/2006/relationships/hyperlink" Target="https://rotamaguswines.com/product/mouton-rothschild-1994-magnum/" TargetMode="External"/><Relationship Id="rId_hyperlink_87" Type="http://schemas.openxmlformats.org/officeDocument/2006/relationships/hyperlink" Target="https://rotamaguswines.com/product/mouton-rothschild-1997/" TargetMode="External"/><Relationship Id="rId_hyperlink_88" Type="http://schemas.openxmlformats.org/officeDocument/2006/relationships/hyperlink" Target="https://rotamaguswines.com/product/mouton-rothschild-1997-2/" TargetMode="External"/><Relationship Id="rId_hyperlink_89" Type="http://schemas.openxmlformats.org/officeDocument/2006/relationships/hyperlink" Target="https://rotamaguswines.com/product/mouton-rothschild-1998/" TargetMode="External"/><Relationship Id="rId_hyperlink_90" Type="http://schemas.openxmlformats.org/officeDocument/2006/relationships/hyperlink" Target="https://rotamaguswines.com/product/mouton-rothschild-1999/" TargetMode="External"/><Relationship Id="rId_hyperlink_91" Type="http://schemas.openxmlformats.org/officeDocument/2006/relationships/hyperlink" Target="https://rotamaguswines.com/product/mouton-rothschild-1999-2/" TargetMode="External"/><Relationship Id="rId_hyperlink_92" Type="http://schemas.openxmlformats.org/officeDocument/2006/relationships/hyperlink" Target="https://rotamaguswines.com/product/mouton-rothschild-1999-magnum/" TargetMode="External"/><Relationship Id="rId_hyperlink_93" Type="http://schemas.openxmlformats.org/officeDocument/2006/relationships/hyperlink" Target="https://rotamaguswines.com/product/mouton-rothschild-2000-magnum/" TargetMode="External"/><Relationship Id="rId_hyperlink_94" Type="http://schemas.openxmlformats.org/officeDocument/2006/relationships/hyperlink" Target="https://rotamaguswines.com/product/mouton-rothschild-2002-magnum/" TargetMode="External"/><Relationship Id="rId_hyperlink_95" Type="http://schemas.openxmlformats.org/officeDocument/2006/relationships/hyperlink" Target="https://rotamaguswines.com/product/mouton-rothschild-2003/" TargetMode="External"/><Relationship Id="rId_hyperlink_96" Type="http://schemas.openxmlformats.org/officeDocument/2006/relationships/hyperlink" Target="https://rotamaguswines.com/product/pichon-lalande-1928/" TargetMode="External"/><Relationship Id="rId_hyperlink_97" Type="http://schemas.openxmlformats.org/officeDocument/2006/relationships/hyperlink" Target="https://rotamaguswines.com/product/pichon-lalande-1945/" TargetMode="External"/><Relationship Id="rId_hyperlink_98" Type="http://schemas.openxmlformats.org/officeDocument/2006/relationships/hyperlink" Target="https://rotamaguswines.com/product/haut-brion-1978-blanc/" TargetMode="External"/><Relationship Id="rId_hyperlink_99" Type="http://schemas.openxmlformats.org/officeDocument/2006/relationships/hyperlink" Target="https://rotamaguswines.com/product/haut-brion-1945/" TargetMode="External"/><Relationship Id="rId_hyperlink_100" Type="http://schemas.openxmlformats.org/officeDocument/2006/relationships/hyperlink" Target="https://rotamaguswines.com/product/haut-brion-1953/" TargetMode="External"/><Relationship Id="rId_hyperlink_101" Type="http://schemas.openxmlformats.org/officeDocument/2006/relationships/hyperlink" Target="https://rotamaguswines.com/product/haut-brion-1953-2/" TargetMode="External"/><Relationship Id="rId_hyperlink_102" Type="http://schemas.openxmlformats.org/officeDocument/2006/relationships/hyperlink" Target="https://rotamaguswines.com/product/haut-brion-1953-3/" TargetMode="External"/><Relationship Id="rId_hyperlink_103" Type="http://schemas.openxmlformats.org/officeDocument/2006/relationships/hyperlink" Target="https://rotamaguswines.com/product/haut-brion-1953-4/" TargetMode="External"/><Relationship Id="rId_hyperlink_104" Type="http://schemas.openxmlformats.org/officeDocument/2006/relationships/hyperlink" Target="https://rotamaguswines.com/product/haut-brion-1955/" TargetMode="External"/><Relationship Id="rId_hyperlink_105" Type="http://schemas.openxmlformats.org/officeDocument/2006/relationships/hyperlink" Target="https://rotamaguswines.com/product/malartic-la-graviere-1937-magnum/" TargetMode="External"/><Relationship Id="rId_hyperlink_106" Type="http://schemas.openxmlformats.org/officeDocument/2006/relationships/hyperlink" Target="https://rotamaguswines.com/product/mission-haut-brion-1914/" TargetMode="External"/><Relationship Id="rId_hyperlink_107" Type="http://schemas.openxmlformats.org/officeDocument/2006/relationships/hyperlink" Target="https://rotamaguswines.com/product/mission-haut-brion-1928/" TargetMode="External"/><Relationship Id="rId_hyperlink_108" Type="http://schemas.openxmlformats.org/officeDocument/2006/relationships/hyperlink" Target="https://rotamaguswines.com/product/mission-haut-brion-1929/" TargetMode="External"/><Relationship Id="rId_hyperlink_109" Type="http://schemas.openxmlformats.org/officeDocument/2006/relationships/hyperlink" Target="https://rotamaguswines.com/product/mission-haut-brion-1929-2/" TargetMode="External"/><Relationship Id="rId_hyperlink_110" Type="http://schemas.openxmlformats.org/officeDocument/2006/relationships/hyperlink" Target="https://rotamaguswines.com/product/mission-haut-brion-1937/" TargetMode="External"/><Relationship Id="rId_hyperlink_111" Type="http://schemas.openxmlformats.org/officeDocument/2006/relationships/hyperlink" Target="https://rotamaguswines.com/product/mission-haut-brion-1937-2/" TargetMode="External"/><Relationship Id="rId_hyperlink_112" Type="http://schemas.openxmlformats.org/officeDocument/2006/relationships/hyperlink" Target="https://rotamaguswines.com/product/mission-haut-brion-1939/" TargetMode="External"/><Relationship Id="rId_hyperlink_113" Type="http://schemas.openxmlformats.org/officeDocument/2006/relationships/hyperlink" Target="https://rotamaguswines.com/product/mission-haut-brion-1941/" TargetMode="External"/><Relationship Id="rId_hyperlink_114" Type="http://schemas.openxmlformats.org/officeDocument/2006/relationships/hyperlink" Target="https://rotamaguswines.com/product/mission-haut-brion-1944/" TargetMode="External"/><Relationship Id="rId_hyperlink_115" Type="http://schemas.openxmlformats.org/officeDocument/2006/relationships/hyperlink" Target="https://rotamaguswines.com/product/mission-haut-brion-1952/" TargetMode="External"/><Relationship Id="rId_hyperlink_116" Type="http://schemas.openxmlformats.org/officeDocument/2006/relationships/hyperlink" Target="https://rotamaguswines.com/product/mission-haut-brion-1952-2/" TargetMode="External"/><Relationship Id="rId_hyperlink_117" Type="http://schemas.openxmlformats.org/officeDocument/2006/relationships/hyperlink" Target="https://rotamaguswines.com/product/mission-haut-brion-1952-3/" TargetMode="External"/><Relationship Id="rId_hyperlink_118" Type="http://schemas.openxmlformats.org/officeDocument/2006/relationships/hyperlink" Target="https://rotamaguswines.com/product/mission-haut-brion-1952-4/" TargetMode="External"/><Relationship Id="rId_hyperlink_119" Type="http://schemas.openxmlformats.org/officeDocument/2006/relationships/hyperlink" Target="https://rotamaguswines.com/product/mission-haut-brion-1952-magnum/" TargetMode="External"/><Relationship Id="rId_hyperlink_120" Type="http://schemas.openxmlformats.org/officeDocument/2006/relationships/hyperlink" Target="https://rotamaguswines.com/product/mission-haut-brion-1953/" TargetMode="External"/><Relationship Id="rId_hyperlink_121" Type="http://schemas.openxmlformats.org/officeDocument/2006/relationships/hyperlink" Target="https://rotamaguswines.com/product/mission-haut-brion-1953-2/" TargetMode="External"/><Relationship Id="rId_hyperlink_122" Type="http://schemas.openxmlformats.org/officeDocument/2006/relationships/hyperlink" Target="https://rotamaguswines.com/product/mission-haut-brion-1955/" TargetMode="External"/><Relationship Id="rId_hyperlink_123" Type="http://schemas.openxmlformats.org/officeDocument/2006/relationships/hyperlink" Target="https://rotamaguswines.com/product/mission-haut-brion-1955-2/" TargetMode="External"/><Relationship Id="rId_hyperlink_124" Type="http://schemas.openxmlformats.org/officeDocument/2006/relationships/hyperlink" Target="https://rotamaguswines.com/product/mouton-rothschild-1963-magnum/" TargetMode="External"/><Relationship Id="rId_hyperlink_125" Type="http://schemas.openxmlformats.org/officeDocument/2006/relationships/hyperlink" Target="https://rotamaguswines.com/product/pape-clement-1949/" TargetMode="External"/><Relationship Id="rId_hyperlink_126" Type="http://schemas.openxmlformats.org/officeDocument/2006/relationships/hyperlink" Target="https://rotamaguswines.com/product/trotanoy-1945/" TargetMode="External"/><Relationship Id="rId_hyperlink_127" Type="http://schemas.openxmlformats.org/officeDocument/2006/relationships/hyperlink" Target="https://rotamaguswines.com/product/vieux-chateau-certan-1945/" TargetMode="External"/><Relationship Id="rId_hyperlink_128" Type="http://schemas.openxmlformats.org/officeDocument/2006/relationships/hyperlink" Target="https://rotamaguswines.com/product/vieux-chateau-certan-1947/" TargetMode="External"/><Relationship Id="rId_hyperlink_129" Type="http://schemas.openxmlformats.org/officeDocument/2006/relationships/hyperlink" Target="https://rotamaguswines.com/product/vieux-chateau-certan-1947-2/" TargetMode="External"/><Relationship Id="rId_hyperlink_130" Type="http://schemas.openxmlformats.org/officeDocument/2006/relationships/hyperlink" Target="https://rotamaguswines.com/product/vieux-chateau-certan-1953/" TargetMode="External"/><Relationship Id="rId_hyperlink_131" Type="http://schemas.openxmlformats.org/officeDocument/2006/relationships/hyperlink" Target="https://rotamaguswines.com/product/vieux-chateau-certan-1959/" TargetMode="External"/><Relationship Id="rId_hyperlink_132" Type="http://schemas.openxmlformats.org/officeDocument/2006/relationships/hyperlink" Target="https://rotamaguswines.com/product/vieux-chateau-certan-1959-2/" TargetMode="External"/><Relationship Id="rId_hyperlink_133" Type="http://schemas.openxmlformats.org/officeDocument/2006/relationships/hyperlink" Target="https://rotamaguswines.com/product/vieux-chateau-certan-1959-magnum/" TargetMode="External"/><Relationship Id="rId_hyperlink_134" Type="http://schemas.openxmlformats.org/officeDocument/2006/relationships/hyperlink" Target="https://rotamaguswines.com/product/vieux-chateau-certan-1962-magnum/" TargetMode="External"/><Relationship Id="rId_hyperlink_135" Type="http://schemas.openxmlformats.org/officeDocument/2006/relationships/hyperlink" Target="https://rotamaguswines.com/product/ausone-1950/" TargetMode="External"/><Relationship Id="rId_hyperlink_136" Type="http://schemas.openxmlformats.org/officeDocument/2006/relationships/hyperlink" Target="https://rotamaguswines.com/product/ausone-1950-2/" TargetMode="External"/><Relationship Id="rId_hyperlink_137" Type="http://schemas.openxmlformats.org/officeDocument/2006/relationships/hyperlink" Target="https://rotamaguswines.com/product/ausone-1961/" TargetMode="External"/><Relationship Id="rId_hyperlink_138" Type="http://schemas.openxmlformats.org/officeDocument/2006/relationships/hyperlink" Target="https://rotamaguswines.com/product/cheval-blanc-1953/" TargetMode="External"/><Relationship Id="rId_hyperlink_139" Type="http://schemas.openxmlformats.org/officeDocument/2006/relationships/hyperlink" Target="https://rotamaguswines.com/product/cheval-blanc-1962-magnum/" TargetMode="External"/><Relationship Id="rId_hyperlink_140" Type="http://schemas.openxmlformats.org/officeDocument/2006/relationships/hyperlink" Target="https://rotamaguswines.com/product/cos-destournel-1918/" TargetMode="External"/><Relationship Id="rId_hyperlink_141" Type="http://schemas.openxmlformats.org/officeDocument/2006/relationships/hyperlink" Target="https://rotamaguswines.com/product/cos-destournel-1918-2/" TargetMode="External"/><Relationship Id="rId_hyperlink_142" Type="http://schemas.openxmlformats.org/officeDocument/2006/relationships/hyperlink" Target="https://rotamaguswines.com/product/cos-destournel-1918-3/" TargetMode="External"/><Relationship Id="rId_hyperlink_143" Type="http://schemas.openxmlformats.org/officeDocument/2006/relationships/hyperlink" Target="https://rotamaguswines.com/product/cos-destournel-1918-4/" TargetMode="External"/><Relationship Id="rId_hyperlink_144" Type="http://schemas.openxmlformats.org/officeDocument/2006/relationships/hyperlink" Target="https://rotamaguswines.com/product/cos-destournel-1918-5/" TargetMode="External"/><Relationship Id="rId_hyperlink_145" Type="http://schemas.openxmlformats.org/officeDocument/2006/relationships/hyperlink" Target="https://rotamaguswines.com/product/cos-destournel-1918-6/" TargetMode="External"/><Relationship Id="rId_hyperlink_146" Type="http://schemas.openxmlformats.org/officeDocument/2006/relationships/hyperlink" Target="https://rotamaguswines.com/product/6-bottles-gruaud-larose-1949/" TargetMode="External"/><Relationship Id="rId_hyperlink_147" Type="http://schemas.openxmlformats.org/officeDocument/2006/relationships/hyperlink" Target="https://rotamaguswines.com/product/gruaud-larose-1929/" TargetMode="External"/><Relationship Id="rId_hyperlink_148" Type="http://schemas.openxmlformats.org/officeDocument/2006/relationships/hyperlink" Target="https://rotamaguswines.com/product/gruaud-larose-1934/" TargetMode="External"/><Relationship Id="rId_hyperlink_149" Type="http://schemas.openxmlformats.org/officeDocument/2006/relationships/hyperlink" Target="https://rotamaguswines.com/product/gruaud-larose-1950/" TargetMode="External"/><Relationship Id="rId_hyperlink_150" Type="http://schemas.openxmlformats.org/officeDocument/2006/relationships/hyperlink" Target="https://rotamaguswines.com/product/gruaud-larose-1953/" TargetMode="External"/><Relationship Id="rId_hyperlink_151" Type="http://schemas.openxmlformats.org/officeDocument/2006/relationships/hyperlink" Target="https://rotamaguswines.com/product/gruaud-larose-1961/" TargetMode="External"/><Relationship Id="rId_hyperlink_152" Type="http://schemas.openxmlformats.org/officeDocument/2006/relationships/hyperlink" Target="https://rotamaguswines.com/product/leoville-las-cases-1961/" TargetMode="External"/><Relationship Id="rId_hyperlink_153" Type="http://schemas.openxmlformats.org/officeDocument/2006/relationships/hyperlink" Target="https://rotamaguswines.com/product/leoville-las-cases-1961-2/" TargetMode="External"/><Relationship Id="rId_hyperlink_154" Type="http://schemas.openxmlformats.org/officeDocument/2006/relationships/hyperlink" Target="https://rotamaguswines.com/product/bonnes-mares-faiveley-1966/" TargetMode="External"/><Relationship Id="rId_hyperlink_155" Type="http://schemas.openxmlformats.org/officeDocument/2006/relationships/hyperlink" Target="https://rotamaguswines.com/product/bonnes-mares-vieilles-vignes-roumier-1988/" TargetMode="External"/><Relationship Id="rId_hyperlink_156" Type="http://schemas.openxmlformats.org/officeDocument/2006/relationships/hyperlink" Target="https://rotamaguswines.com/product/chambertin-rousseau-1980/" TargetMode="External"/><Relationship Id="rId_hyperlink_157" Type="http://schemas.openxmlformats.org/officeDocument/2006/relationships/hyperlink" Target="https://rotamaguswines.com/product/clos-de-la-roche-rousseau-1980/" TargetMode="External"/><Relationship Id="rId_hyperlink_158" Type="http://schemas.openxmlformats.org/officeDocument/2006/relationships/hyperlink" Target="https://rotamaguswines.com/product/echezeaux-leroy-1969/" TargetMode="External"/><Relationship Id="rId_hyperlink_159" Type="http://schemas.openxmlformats.org/officeDocument/2006/relationships/hyperlink" Target="https://rotamaguswines.com/product/musigny-vv-de-vogue-1966/" TargetMode="External"/><Relationship Id="rId_hyperlink_160" Type="http://schemas.openxmlformats.org/officeDocument/2006/relationships/hyperlink" Target="https://rotamaguswines.com/product/drc-richebourg-1966/" TargetMode="External"/><Relationship Id="rId_hyperlink_161" Type="http://schemas.openxmlformats.org/officeDocument/2006/relationships/hyperlink" Target="https://rotamaguswines.com/product/ruchottes-chambertin-rousseau-1980/" TargetMode="External"/><Relationship Id="rId_hyperlink_162" Type="http://schemas.openxmlformats.org/officeDocument/2006/relationships/hyperlink" Target="https://rotamaguswines.com/product/ruchottes-chambertin-rousseau-1980-2/" TargetMode="External"/><Relationship Id="rId_hyperlink_163" Type="http://schemas.openxmlformats.org/officeDocument/2006/relationships/hyperlink" Target="https://rotamaguswines.com/product/volnay-clos-des-ducs-marquis-dangerville-1999/" TargetMode="External"/><Relationship Id="rId_hyperlink_164" Type="http://schemas.openxmlformats.org/officeDocument/2006/relationships/hyperlink" Target="https://rotamaguswines.com/product/volnay-clos-des-ducs-marquis-dangerville-1999-2/" TargetMode="External"/><Relationship Id="rId_hyperlink_165" Type="http://schemas.openxmlformats.org/officeDocument/2006/relationships/hyperlink" Target="https://rotamaguswines.com/product/vosne-romanee-clos-du-chateau-2006-domaine-du-comte-liger-belair/" TargetMode="External"/><Relationship Id="rId_hyperlink_166" Type="http://schemas.openxmlformats.org/officeDocument/2006/relationships/hyperlink" Target="https://rotamaguswines.com/product/vosne-romanee-clos-du-chateau-2006-domaine-du-comte-liger-belair-2/" TargetMode="External"/><Relationship Id="rId_hyperlink_167" Type="http://schemas.openxmlformats.org/officeDocument/2006/relationships/hyperlink" Target="https://rotamaguswines.com/product/vosne-romanee-clos-du-chateau-2006-domaine-du-comte-liger-belair-3/" TargetMode="External"/><Relationship Id="rId_hyperlink_168" Type="http://schemas.openxmlformats.org/officeDocument/2006/relationships/hyperlink" Target="https://rotamaguswines.com/product/vosne-romanee-clos-du-chateau-2006-domaine-du-comte-liger-belair-4/" TargetMode="External"/><Relationship Id="rId_hyperlink_169" Type="http://schemas.openxmlformats.org/officeDocument/2006/relationships/hyperlink" Target="https://rotamaguswines.com/product/vosne-romanee-la-colombiere-2006-domaine-du-comte-liger-belair/" TargetMode="External"/><Relationship Id="rId_hyperlink_170" Type="http://schemas.openxmlformats.org/officeDocument/2006/relationships/hyperlink" Target="https://rotamaguswines.com/product/vosne-romanee-la-colombiere-2006-domaine-du-comte-liger-belair-2/" TargetMode="External"/><Relationship Id="rId_hyperlink_171" Type="http://schemas.openxmlformats.org/officeDocument/2006/relationships/hyperlink" Target="https://rotamaguswines.com/product/vosne-romanee-la-colombiere-2006-domaine-du-comte-liger-belair-3/" TargetMode="External"/><Relationship Id="rId_hyperlink_172" Type="http://schemas.openxmlformats.org/officeDocument/2006/relationships/hyperlink" Target="https://rotamaguswines.com/product/vosne-romanee-la-colombiere-2006-domaine-du-comte-liger-belair-4/" TargetMode="External"/><Relationship Id="rId_hyperlink_173" Type="http://schemas.openxmlformats.org/officeDocument/2006/relationships/hyperlink" Target="https://rotamaguswines.com/product/cristal-roederer-1962/" TargetMode="External"/><Relationship Id="rId_hyperlink_174" Type="http://schemas.openxmlformats.org/officeDocument/2006/relationships/hyperlink" Target="https://rotamaguswines.com/product/cristal-roederer-1966-magnum/" TargetMode="External"/><Relationship Id="rId_hyperlink_175" Type="http://schemas.openxmlformats.org/officeDocument/2006/relationships/hyperlink" Target="https://rotamaguswines.com/product/cristal-roederer-1970/" TargetMode="External"/><Relationship Id="rId_hyperlink_176" Type="http://schemas.openxmlformats.org/officeDocument/2006/relationships/hyperlink" Target="https://rotamaguswines.com/product/cristal-roederer-1973-magnum/" TargetMode="External"/><Relationship Id="rId_hyperlink_177" Type="http://schemas.openxmlformats.org/officeDocument/2006/relationships/hyperlink" Target="https://rotamaguswines.com/product/cristal-roederer-1973-magnum-2/" TargetMode="External"/><Relationship Id="rId_hyperlink_178" Type="http://schemas.openxmlformats.org/officeDocument/2006/relationships/hyperlink" Target="https://rotamaguswines.com/product/cristal-roederer-1977/" TargetMode="External"/><Relationship Id="rId_hyperlink_179" Type="http://schemas.openxmlformats.org/officeDocument/2006/relationships/hyperlink" Target="https://rotamaguswines.com/product/dom-perignon-1959/" TargetMode="External"/><Relationship Id="rId_hyperlink_180" Type="http://schemas.openxmlformats.org/officeDocument/2006/relationships/hyperlink" Target="https://rotamaguswines.com/product/dom-perignon-1959-2/" TargetMode="External"/><Relationship Id="rId_hyperlink_181" Type="http://schemas.openxmlformats.org/officeDocument/2006/relationships/hyperlink" Target="https://rotamaguswines.com/product/dom-perignon-1964/" TargetMode="External"/><Relationship Id="rId_hyperlink_182" Type="http://schemas.openxmlformats.org/officeDocument/2006/relationships/hyperlink" Target="https://rotamaguswines.com/product/dom-perignon-1964-2/" TargetMode="External"/><Relationship Id="rId_hyperlink_183" Type="http://schemas.openxmlformats.org/officeDocument/2006/relationships/hyperlink" Target="https://rotamaguswines.com/product/dom-perignon-1964-3/" TargetMode="External"/><Relationship Id="rId_hyperlink_184" Type="http://schemas.openxmlformats.org/officeDocument/2006/relationships/hyperlink" Target="https://rotamaguswines.com/product/dom-perignon-1964-4/" TargetMode="External"/><Relationship Id="rId_hyperlink_185" Type="http://schemas.openxmlformats.org/officeDocument/2006/relationships/hyperlink" Target="https://rotamaguswines.com/product/dom-perignon-1964-6/" TargetMode="External"/><Relationship Id="rId_hyperlink_186" Type="http://schemas.openxmlformats.org/officeDocument/2006/relationships/hyperlink" Target="https://rotamaguswines.com/product/dom-perignon-1964-7/" TargetMode="External"/><Relationship Id="rId_hyperlink_187" Type="http://schemas.openxmlformats.org/officeDocument/2006/relationships/hyperlink" Target="https://rotamaguswines.com/product/dom-perignon-1964-8/" TargetMode="External"/><Relationship Id="rId_hyperlink_188" Type="http://schemas.openxmlformats.org/officeDocument/2006/relationships/hyperlink" Target="https://rotamaguswines.com/product/dom-perignon-1964-9/" TargetMode="External"/><Relationship Id="rId_hyperlink_189" Type="http://schemas.openxmlformats.org/officeDocument/2006/relationships/hyperlink" Target="https://rotamaguswines.com/product/dom-perignon-1964-10/" TargetMode="External"/><Relationship Id="rId_hyperlink_190" Type="http://schemas.openxmlformats.org/officeDocument/2006/relationships/hyperlink" Target="https://rotamaguswines.com/product/dom-perignon-1964-11/" TargetMode="External"/><Relationship Id="rId_hyperlink_191" Type="http://schemas.openxmlformats.org/officeDocument/2006/relationships/hyperlink" Target="https://rotamaguswines.com/product/dom-perignon-1964-12/" TargetMode="External"/><Relationship Id="rId_hyperlink_192" Type="http://schemas.openxmlformats.org/officeDocument/2006/relationships/hyperlink" Target="https://rotamaguswines.com/product/dom-perignon-1964-13/" TargetMode="External"/><Relationship Id="rId_hyperlink_193" Type="http://schemas.openxmlformats.org/officeDocument/2006/relationships/hyperlink" Target="https://rotamaguswines.com/product/dom-perignon-1964-magnum/" TargetMode="External"/><Relationship Id="rId_hyperlink_194" Type="http://schemas.openxmlformats.org/officeDocument/2006/relationships/hyperlink" Target="https://rotamaguswines.com/product/dom-perignon-1966/" TargetMode="External"/><Relationship Id="rId_hyperlink_195" Type="http://schemas.openxmlformats.org/officeDocument/2006/relationships/hyperlink" Target="https://rotamaguswines.com/product/dom-perignon-1966-2/" TargetMode="External"/><Relationship Id="rId_hyperlink_196" Type="http://schemas.openxmlformats.org/officeDocument/2006/relationships/hyperlink" Target="https://rotamaguswines.com/product/dom-perignon-1966-3/" TargetMode="External"/><Relationship Id="rId_hyperlink_197" Type="http://schemas.openxmlformats.org/officeDocument/2006/relationships/hyperlink" Target="https://rotamaguswines.com/product/dom-perignon-1966-4/" TargetMode="External"/><Relationship Id="rId_hyperlink_198" Type="http://schemas.openxmlformats.org/officeDocument/2006/relationships/hyperlink" Target="https://rotamaguswines.com/product/dom-perignon-1966-5/" TargetMode="External"/><Relationship Id="rId_hyperlink_199" Type="http://schemas.openxmlformats.org/officeDocument/2006/relationships/hyperlink" Target="https://rotamaguswines.com/product/dom-perignon-1969-2/" TargetMode="External"/><Relationship Id="rId_hyperlink_200" Type="http://schemas.openxmlformats.org/officeDocument/2006/relationships/hyperlink" Target="https://rotamaguswines.com/product/dom-perignon-1969-3/" TargetMode="External"/><Relationship Id="rId_hyperlink_201" Type="http://schemas.openxmlformats.org/officeDocument/2006/relationships/hyperlink" Target="https://rotamaguswines.com/product/dom-perignon-1969-4/" TargetMode="External"/><Relationship Id="rId_hyperlink_202" Type="http://schemas.openxmlformats.org/officeDocument/2006/relationships/hyperlink" Target="https://rotamaguswines.com/product/dom-perignon-1969-6/" TargetMode="External"/><Relationship Id="rId_hyperlink_203" Type="http://schemas.openxmlformats.org/officeDocument/2006/relationships/hyperlink" Target="https://rotamaguswines.com/product/dom-perignon-1969-7/" TargetMode="External"/><Relationship Id="rId_hyperlink_204" Type="http://schemas.openxmlformats.org/officeDocument/2006/relationships/hyperlink" Target="https://rotamaguswines.com/product/dom-perignon-1969-8/" TargetMode="External"/><Relationship Id="rId_hyperlink_205" Type="http://schemas.openxmlformats.org/officeDocument/2006/relationships/hyperlink" Target="https://rotamaguswines.com/product/dom-perignon-1969-9/" TargetMode="External"/><Relationship Id="rId_hyperlink_206" Type="http://schemas.openxmlformats.org/officeDocument/2006/relationships/hyperlink" Target="https://rotamaguswines.com/product/dom-perignon-1969-10/" TargetMode="External"/><Relationship Id="rId_hyperlink_207" Type="http://schemas.openxmlformats.org/officeDocument/2006/relationships/hyperlink" Target="https://rotamaguswines.com/product/dom-perignon-1970/" TargetMode="External"/><Relationship Id="rId_hyperlink_208" Type="http://schemas.openxmlformats.org/officeDocument/2006/relationships/hyperlink" Target="https://rotamaguswines.com/product/dom-perignon-1970-2/" TargetMode="External"/><Relationship Id="rId_hyperlink_209" Type="http://schemas.openxmlformats.org/officeDocument/2006/relationships/hyperlink" Target="https://rotamaguswines.com/product/dom-perignon-1970-3/" TargetMode="External"/><Relationship Id="rId_hyperlink_210" Type="http://schemas.openxmlformats.org/officeDocument/2006/relationships/hyperlink" Target="https://rotamaguswines.com/product/dom-perignon-1970-4/" TargetMode="External"/><Relationship Id="rId_hyperlink_211" Type="http://schemas.openxmlformats.org/officeDocument/2006/relationships/hyperlink" Target="https://rotamaguswines.com/product/dom-perignon-1970-5/" TargetMode="External"/><Relationship Id="rId_hyperlink_212" Type="http://schemas.openxmlformats.org/officeDocument/2006/relationships/hyperlink" Target="https://rotamaguswines.com/product/dom-perignon-1970-6/" TargetMode="External"/><Relationship Id="rId_hyperlink_213" Type="http://schemas.openxmlformats.org/officeDocument/2006/relationships/hyperlink" Target="https://rotamaguswines.com/product/dom-perignon-1970-7/" TargetMode="External"/><Relationship Id="rId_hyperlink_214" Type="http://schemas.openxmlformats.org/officeDocument/2006/relationships/hyperlink" Target="https://rotamaguswines.com/product/dom-perignon-1970-8/" TargetMode="External"/><Relationship Id="rId_hyperlink_215" Type="http://schemas.openxmlformats.org/officeDocument/2006/relationships/hyperlink" Target="https://rotamaguswines.com/product/dom-perignon-1971/" TargetMode="External"/><Relationship Id="rId_hyperlink_216" Type="http://schemas.openxmlformats.org/officeDocument/2006/relationships/hyperlink" Target="https://rotamaguswines.com/product/dom-perignon-1971-2/" TargetMode="External"/><Relationship Id="rId_hyperlink_217" Type="http://schemas.openxmlformats.org/officeDocument/2006/relationships/hyperlink" Target="https://rotamaguswines.com/product/dom-perignon-1971-3/" TargetMode="External"/><Relationship Id="rId_hyperlink_218" Type="http://schemas.openxmlformats.org/officeDocument/2006/relationships/hyperlink" Target="https://rotamaguswines.com/product/dom-perignon-1971-4/" TargetMode="External"/><Relationship Id="rId_hyperlink_219" Type="http://schemas.openxmlformats.org/officeDocument/2006/relationships/hyperlink" Target="https://rotamaguswines.com/product/dom-perignon-1971-5/" TargetMode="External"/><Relationship Id="rId_hyperlink_220" Type="http://schemas.openxmlformats.org/officeDocument/2006/relationships/hyperlink" Target="https://rotamaguswines.com/product/dom-perignon-1971-6/" TargetMode="External"/><Relationship Id="rId_hyperlink_221" Type="http://schemas.openxmlformats.org/officeDocument/2006/relationships/hyperlink" Target="https://rotamaguswines.com/product/dom-perignon-1971-7/" TargetMode="External"/><Relationship Id="rId_hyperlink_222" Type="http://schemas.openxmlformats.org/officeDocument/2006/relationships/hyperlink" Target="https://rotamaguswines.com/product/dom-perignon-1971-8/" TargetMode="External"/><Relationship Id="rId_hyperlink_223" Type="http://schemas.openxmlformats.org/officeDocument/2006/relationships/hyperlink" Target="https://rotamaguswines.com/product/dom-perignon-1971-9/" TargetMode="External"/><Relationship Id="rId_hyperlink_224" Type="http://schemas.openxmlformats.org/officeDocument/2006/relationships/hyperlink" Target="https://rotamaguswines.com/product/dom-perignon-1971-10/" TargetMode="External"/><Relationship Id="rId_hyperlink_225" Type="http://schemas.openxmlformats.org/officeDocument/2006/relationships/hyperlink" Target="https://rotamaguswines.com/product/dom-perignon-1973/" TargetMode="External"/><Relationship Id="rId_hyperlink_226" Type="http://schemas.openxmlformats.org/officeDocument/2006/relationships/hyperlink" Target="https://rotamaguswines.com/product/dom-perignon-1973-2/" TargetMode="External"/><Relationship Id="rId_hyperlink_227" Type="http://schemas.openxmlformats.org/officeDocument/2006/relationships/hyperlink" Target="https://rotamaguswines.com/product/dom-perignon-1973-3/" TargetMode="External"/><Relationship Id="rId_hyperlink_228" Type="http://schemas.openxmlformats.org/officeDocument/2006/relationships/hyperlink" Target="https://rotamaguswines.com/product/dom-perignon-1973-4/" TargetMode="External"/><Relationship Id="rId_hyperlink_229" Type="http://schemas.openxmlformats.org/officeDocument/2006/relationships/hyperlink" Target="https://rotamaguswines.com/product/dom-perignon-1973-5/" TargetMode="External"/><Relationship Id="rId_hyperlink_230" Type="http://schemas.openxmlformats.org/officeDocument/2006/relationships/hyperlink" Target="https://rotamaguswines.com/product/dom-perignon-1973-6/" TargetMode="External"/><Relationship Id="rId_hyperlink_231" Type="http://schemas.openxmlformats.org/officeDocument/2006/relationships/hyperlink" Target="https://rotamaguswines.com/product/dom-perignon-1973-7/" TargetMode="External"/><Relationship Id="rId_hyperlink_232" Type="http://schemas.openxmlformats.org/officeDocument/2006/relationships/hyperlink" Target="https://rotamaguswines.com/product/dom-perignon-1973-8/" TargetMode="External"/><Relationship Id="rId_hyperlink_233" Type="http://schemas.openxmlformats.org/officeDocument/2006/relationships/hyperlink" Target="https://rotamaguswines.com/product/dom-perignon-1973-9/" TargetMode="External"/><Relationship Id="rId_hyperlink_234" Type="http://schemas.openxmlformats.org/officeDocument/2006/relationships/hyperlink" Target="https://rotamaguswines.com/product/dom-perignon-1973-10/" TargetMode="External"/><Relationship Id="rId_hyperlink_235" Type="http://schemas.openxmlformats.org/officeDocument/2006/relationships/hyperlink" Target="https://rotamaguswines.com/product/dom-perignon-1975-magnum/" TargetMode="External"/><Relationship Id="rId_hyperlink_236" Type="http://schemas.openxmlformats.org/officeDocument/2006/relationships/hyperlink" Target="https://rotamaguswines.com/product/dom-perignon-1976-5/" TargetMode="External"/><Relationship Id="rId_hyperlink_237" Type="http://schemas.openxmlformats.org/officeDocument/2006/relationships/hyperlink" Target="https://rotamaguswines.com/product/dom-perignon-1976-7/" TargetMode="External"/><Relationship Id="rId_hyperlink_238" Type="http://schemas.openxmlformats.org/officeDocument/2006/relationships/hyperlink" Target="https://rotamaguswines.com/product/dom-perignon-1978/" TargetMode="External"/><Relationship Id="rId_hyperlink_239" Type="http://schemas.openxmlformats.org/officeDocument/2006/relationships/hyperlink" Target="https://rotamaguswines.com/product/dom-perignon-1978-2/" TargetMode="External"/><Relationship Id="rId_hyperlink_240" Type="http://schemas.openxmlformats.org/officeDocument/2006/relationships/hyperlink" Target="https://rotamaguswines.com/product/dom-perignon-1978-3/" TargetMode="External"/><Relationship Id="rId_hyperlink_241" Type="http://schemas.openxmlformats.org/officeDocument/2006/relationships/hyperlink" Target="https://rotamaguswines.com/product/dom-perignon-1978-4/" TargetMode="External"/><Relationship Id="rId_hyperlink_242" Type="http://schemas.openxmlformats.org/officeDocument/2006/relationships/hyperlink" Target="https://rotamaguswines.com/product/dom-perignon-1978-5/" TargetMode="External"/><Relationship Id="rId_hyperlink_243" Type="http://schemas.openxmlformats.org/officeDocument/2006/relationships/hyperlink" Target="https://rotamaguswines.com/product/dom-perignon-1978-6/" TargetMode="External"/><Relationship Id="rId_hyperlink_244" Type="http://schemas.openxmlformats.org/officeDocument/2006/relationships/hyperlink" Target="https://rotamaguswines.com/product/dom-perignon-1978-7/" TargetMode="External"/><Relationship Id="rId_hyperlink_245" Type="http://schemas.openxmlformats.org/officeDocument/2006/relationships/hyperlink" Target="https://rotamaguswines.com/product/dom-perignon-1978-8/" TargetMode="External"/><Relationship Id="rId_hyperlink_246" Type="http://schemas.openxmlformats.org/officeDocument/2006/relationships/hyperlink" Target="https://rotamaguswines.com/product/dom-perignon-1978-9/" TargetMode="External"/><Relationship Id="rId_hyperlink_247" Type="http://schemas.openxmlformats.org/officeDocument/2006/relationships/hyperlink" Target="https://rotamaguswines.com/product/dom-perignon-1978-10/" TargetMode="External"/><Relationship Id="rId_hyperlink_248" Type="http://schemas.openxmlformats.org/officeDocument/2006/relationships/hyperlink" Target="https://rotamaguswines.com/product/dom-perignon-1978-11/" TargetMode="External"/><Relationship Id="rId_hyperlink_249" Type="http://schemas.openxmlformats.org/officeDocument/2006/relationships/hyperlink" Target="https://rotamaguswines.com/product/dom-perignon-1980/" TargetMode="External"/><Relationship Id="rId_hyperlink_250" Type="http://schemas.openxmlformats.org/officeDocument/2006/relationships/hyperlink" Target="https://rotamaguswines.com/product/dom-perignon-1980-2/" TargetMode="External"/><Relationship Id="rId_hyperlink_251" Type="http://schemas.openxmlformats.org/officeDocument/2006/relationships/hyperlink" Target="https://rotamaguswines.com/product/dom-perignon-1980-3/" TargetMode="External"/><Relationship Id="rId_hyperlink_252" Type="http://schemas.openxmlformats.org/officeDocument/2006/relationships/hyperlink" Target="https://rotamaguswines.com/product/dom-perignon-1980-4/" TargetMode="External"/><Relationship Id="rId_hyperlink_253" Type="http://schemas.openxmlformats.org/officeDocument/2006/relationships/hyperlink" Target="https://rotamaguswines.com/product/dom-perignon-1980-5/" TargetMode="External"/><Relationship Id="rId_hyperlink_254" Type="http://schemas.openxmlformats.org/officeDocument/2006/relationships/hyperlink" Target="https://rotamaguswines.com/product/dom-perignon-1980-6/" TargetMode="External"/><Relationship Id="rId_hyperlink_255" Type="http://schemas.openxmlformats.org/officeDocument/2006/relationships/hyperlink" Target="https://rotamaguswines.com/product/dom-perignon-1980-7/" TargetMode="External"/><Relationship Id="rId_hyperlink_256" Type="http://schemas.openxmlformats.org/officeDocument/2006/relationships/hyperlink" Target="https://rotamaguswines.com/product/dom-perignon-1980-8/" TargetMode="External"/><Relationship Id="rId_hyperlink_257" Type="http://schemas.openxmlformats.org/officeDocument/2006/relationships/hyperlink" Target="https://rotamaguswines.com/product/dom-perignon-1980-9/" TargetMode="External"/><Relationship Id="rId_hyperlink_258" Type="http://schemas.openxmlformats.org/officeDocument/2006/relationships/hyperlink" Target="https://rotamaguswines.com/product/dom-perignon-1980-10/" TargetMode="External"/><Relationship Id="rId_hyperlink_259" Type="http://schemas.openxmlformats.org/officeDocument/2006/relationships/hyperlink" Target="https://rotamaguswines.com/product/dom-perignon-1980-11/" TargetMode="External"/><Relationship Id="rId_hyperlink_260" Type="http://schemas.openxmlformats.org/officeDocument/2006/relationships/hyperlink" Target="https://rotamaguswines.com/product/dom-perignon-1983/" TargetMode="External"/><Relationship Id="rId_hyperlink_261" Type="http://schemas.openxmlformats.org/officeDocument/2006/relationships/hyperlink" Target="https://rotamaguswines.com/product/dom-perignon-1983-3/" TargetMode="External"/><Relationship Id="rId_hyperlink_262" Type="http://schemas.openxmlformats.org/officeDocument/2006/relationships/hyperlink" Target="https://rotamaguswines.com/product/dom-perignon-1993/" TargetMode="External"/><Relationship Id="rId_hyperlink_263" Type="http://schemas.openxmlformats.org/officeDocument/2006/relationships/hyperlink" Target="https://rotamaguswines.com/product/perrier-jouet-la-belle-epoque-1973-magnum/" TargetMode="External"/><Relationship Id="rId_hyperlink_264" Type="http://schemas.openxmlformats.org/officeDocument/2006/relationships/hyperlink" Target="https://rotamaguswines.com/product/pol-roger-brut-reserve-1945/" TargetMode="External"/><Relationship Id="rId_hyperlink_265" Type="http://schemas.openxmlformats.org/officeDocument/2006/relationships/hyperlink" Target="https://rotamaguswines.com/product/taittinger-collection-1978-victor-vasarely/" TargetMode="External"/><Relationship Id="rId_hyperlink_266" Type="http://schemas.openxmlformats.org/officeDocument/2006/relationships/hyperlink" Target="https://rotamaguswines.com/product/taittinger-collection-1981-arman/" TargetMode="External"/><Relationship Id="rId_hyperlink_267" Type="http://schemas.openxmlformats.org/officeDocument/2006/relationships/hyperlink" Target="https://rotamaguswines.com/product/taittinger-collection-1985-roy-lichtenstein/" TargetMode="External"/><Relationship Id="rId_hyperlink_268" Type="http://schemas.openxmlformats.org/officeDocument/2006/relationships/hyperlink" Target="https://rotamaguswines.com/product/taittinger-collection-1985-roy-lichtenstein-2/" TargetMode="External"/><Relationship Id="rId_hyperlink_269" Type="http://schemas.openxmlformats.org/officeDocument/2006/relationships/hyperlink" Target="https://rotamaguswines.com/product/taittinger-collection-1985-roy-lichtenstein-3/" TargetMode="External"/><Relationship Id="rId_hyperlink_270" Type="http://schemas.openxmlformats.org/officeDocument/2006/relationships/hyperlink" Target="https://rotamaguswines.com/product/taittinger-collection-1985-roy-lichtenstein-4/" TargetMode="External"/><Relationship Id="rId_hyperlink_271" Type="http://schemas.openxmlformats.org/officeDocument/2006/relationships/hyperlink" Target="https://rotamaguswines.com/product/taittinger-collection-1992-matta/" TargetMode="External"/><Relationship Id="rId_hyperlink_272" Type="http://schemas.openxmlformats.org/officeDocument/2006/relationships/hyperlink" Target="https://rotamaguswines.com/product/taittinger-collection-1992-matta-2/" TargetMode="External"/><Relationship Id="rId_hyperlink_273" Type="http://schemas.openxmlformats.org/officeDocument/2006/relationships/hyperlink" Target="https://rotamaguswines.com/product/taittinger-collection-1992-matta-3/" TargetMode="External"/><Relationship Id="rId_hyperlink_274" Type="http://schemas.openxmlformats.org/officeDocument/2006/relationships/hyperlink" Target="https://rotamaguswines.com/product/chateauneuf-du-pape-mont-redon-1971-magnum/" TargetMode="External"/><Relationship Id="rId_hyperlink_275" Type="http://schemas.openxmlformats.org/officeDocument/2006/relationships/hyperlink" Target="https://rotamaguswines.com/product/hermitage-rouge-jaboulet-la-chapelle-1978-magnum/" TargetMode="External"/><Relationship Id="rId_hyperlink_276" Type="http://schemas.openxmlformats.org/officeDocument/2006/relationships/hyperlink" Target="https://rotamaguswines.com/product/hermitage-rouge-jaboulet-la-chapelle-1978-magnum-2/" TargetMode="External"/><Relationship Id="rId_hyperlink_277" Type="http://schemas.openxmlformats.org/officeDocument/2006/relationships/hyperlink" Target="https://rotamaguswines.com/product/barbaresco-castello-di-nieve-santo-stefano-1971/" TargetMode="External"/><Relationship Id="rId_hyperlink_278" Type="http://schemas.openxmlformats.org/officeDocument/2006/relationships/hyperlink" Target="https://rotamaguswines.com/product/barbaresco-gaja-1971-3-78l/" TargetMode="External"/><Relationship Id="rId_hyperlink_279" Type="http://schemas.openxmlformats.org/officeDocument/2006/relationships/hyperlink" Target="https://rotamaguswines.com/product/barolo-borgogno-antichi-vigneti-propri-riserva-1947/" TargetMode="External"/><Relationship Id="rId_hyperlink_280" Type="http://schemas.openxmlformats.org/officeDocument/2006/relationships/hyperlink" Target="https://rotamaguswines.com/product/barolo-borgogno-antichi-vigneti-propri-riserva-1947-2/" TargetMode="External"/><Relationship Id="rId_hyperlink_281" Type="http://schemas.openxmlformats.org/officeDocument/2006/relationships/hyperlink" Target="https://rotamaguswines.com/product/barolo-conterno-giacomo-monfortino-riserva-1941/" TargetMode="External"/><Relationship Id="rId_hyperlink_282" Type="http://schemas.openxmlformats.org/officeDocument/2006/relationships/hyperlink" Target="https://rotamaguswines.com/product/barolo-conterno-giacomo-monfortino-riserva-1945/" TargetMode="External"/><Relationship Id="rId_hyperlink_283" Type="http://schemas.openxmlformats.org/officeDocument/2006/relationships/hyperlink" Target="https://rotamaguswines.com/product/barolo-conterno-giacomo-monfortino-riserva-1945-2/" TargetMode="External"/><Relationship Id="rId_hyperlink_284" Type="http://schemas.openxmlformats.org/officeDocument/2006/relationships/hyperlink" Target="https://rotamaguswines.com/product/barolo-conterno-giacomo-monfortino-riserva-1952-129l/" TargetMode="External"/><Relationship Id="rId_hyperlink_285" Type="http://schemas.openxmlformats.org/officeDocument/2006/relationships/hyperlink" Target="https://rotamaguswines.com/product/barolo-conterno-giacomo-monfortino-riserva-1955-magnum/" TargetMode="External"/><Relationship Id="rId_hyperlink_286" Type="http://schemas.openxmlformats.org/officeDocument/2006/relationships/hyperlink" Target="https://rotamaguswines.com/product/barolo-conterno-giacomo-monfortino-riserva-1958/" TargetMode="External"/><Relationship Id="rId_hyperlink_287" Type="http://schemas.openxmlformats.org/officeDocument/2006/relationships/hyperlink" Target="https://rotamaguswines.com/product/barolo-conterno-giacomo-monfortino-riserva-1958-133l/" TargetMode="External"/><Relationship Id="rId_hyperlink_288" Type="http://schemas.openxmlformats.org/officeDocument/2006/relationships/hyperlink" Target="https://rotamaguswines.com/product/barolo-conterno-giacomo-monfortino-riserva-1961/" TargetMode="External"/><Relationship Id="rId_hyperlink_289" Type="http://schemas.openxmlformats.org/officeDocument/2006/relationships/hyperlink" Target="https://rotamaguswines.com/product/barolo-conterno-giacomo-monfortino-riserva-1961-2/" TargetMode="External"/><Relationship Id="rId_hyperlink_290" Type="http://schemas.openxmlformats.org/officeDocument/2006/relationships/hyperlink" Target="https://rotamaguswines.com/product/barolo-conterno-giacomo-monfortino-riserva-1961-3/" TargetMode="External"/><Relationship Id="rId_hyperlink_291" Type="http://schemas.openxmlformats.org/officeDocument/2006/relationships/hyperlink" Target="https://rotamaguswines.com/product/barolo-conterno-giacomo-monfortino-riserva-1961-4/" TargetMode="External"/><Relationship Id="rId_hyperlink_292" Type="http://schemas.openxmlformats.org/officeDocument/2006/relationships/hyperlink" Target="https://rotamaguswines.com/product/barolo-conterno-giacomo-monfortino-riserva-1961-5/" TargetMode="External"/><Relationship Id="rId_hyperlink_293" Type="http://schemas.openxmlformats.org/officeDocument/2006/relationships/hyperlink" Target="https://rotamaguswines.com/product/barolo-conterno-giacomo-monfortino-riserva-1961-6/" TargetMode="External"/><Relationship Id="rId_hyperlink_294" Type="http://schemas.openxmlformats.org/officeDocument/2006/relationships/hyperlink" Target="https://rotamaguswines.com/product/barolo-conterno-giacomo-monfortino-riserva-1961-7/" TargetMode="External"/><Relationship Id="rId_hyperlink_295" Type="http://schemas.openxmlformats.org/officeDocument/2006/relationships/hyperlink" Target="https://rotamaguswines.com/product/barolo-conterno-giacomo-monfortino-riserva-1961-8/" TargetMode="External"/><Relationship Id="rId_hyperlink_296" Type="http://schemas.openxmlformats.org/officeDocument/2006/relationships/hyperlink" Target="https://rotamaguswines.com/product/barolo-conterno-giacomo-monfortino-riserva-1961-9/" TargetMode="External"/><Relationship Id="rId_hyperlink_297" Type="http://schemas.openxmlformats.org/officeDocument/2006/relationships/hyperlink" Target="https://rotamaguswines.com/product/barolo-conterno-giacomo-monfortino-riserva-1961-135l/" TargetMode="External"/><Relationship Id="rId_hyperlink_298" Type="http://schemas.openxmlformats.org/officeDocument/2006/relationships/hyperlink" Target="https://rotamaguswines.com/product/barolo-giuseppe-mascarello-bussia-soprana-1970-378l/" TargetMode="External"/><Relationship Id="rId_hyperlink_299" Type="http://schemas.openxmlformats.org/officeDocument/2006/relationships/hyperlink" Target="https://rotamaguswines.com/product/barolo-giuseppe-mascarello-bussia-soprana-1970-378l-2/" TargetMode="External"/><Relationship Id="rId_hyperlink_300" Type="http://schemas.openxmlformats.org/officeDocument/2006/relationships/hyperlink" Target="https://rotamaguswines.com/product/barolo-marchesi-di-barolo-gia-opera-pia-1947-gran-riserva/" TargetMode="External"/><Relationship Id="rId_hyperlink_301" Type="http://schemas.openxmlformats.org/officeDocument/2006/relationships/hyperlink" Target="https://rotamaguswines.com/product/barolo-marchesi-di-barolo-gia-opera-pia-1947-gran-riserva-2/" TargetMode="External"/><Relationship Id="rId_hyperlink_302" Type="http://schemas.openxmlformats.org/officeDocument/2006/relationships/hyperlink" Target="https://rotamaguswines.com/product/barolo-marchesi-di-barolo-gia-opera-pia-1947-gran-riserva-3/" TargetMode="External"/><Relationship Id="rId_hyperlink_303" Type="http://schemas.openxmlformats.org/officeDocument/2006/relationships/hyperlink" Target="https://rotamaguswines.com/product/barolo-marchesi-di-barolo-gia-opera-pia-1947-gran-riserva-4/" TargetMode="External"/><Relationship Id="rId_hyperlink_304" Type="http://schemas.openxmlformats.org/officeDocument/2006/relationships/hyperlink" Target="https://rotamaguswines.com/product/barolo-marchesi-di-barolo-gia-opera-pia-1947-gran-riserva-5/" TargetMode="External"/><Relationship Id="rId_hyperlink_305" Type="http://schemas.openxmlformats.org/officeDocument/2006/relationships/hyperlink" Target="https://rotamaguswines.com/product/barolo-marchesi-di-barolo-gia-opera-pia-1947-gran-riserva-6/" TargetMode="External"/><Relationship Id="rId_hyperlink_306" Type="http://schemas.openxmlformats.org/officeDocument/2006/relationships/hyperlink" Target="https://rotamaguswines.com/product/barolo-marchesi-di-barolo-gia-opera-pia-1952/" TargetMode="External"/><Relationship Id="rId_hyperlink_307" Type="http://schemas.openxmlformats.org/officeDocument/2006/relationships/hyperlink" Target="https://rotamaguswines.com/product/barolo-marchesi-di-barolo-gia-opera-pia-1957/" TargetMode="External"/><Relationship Id="rId_hyperlink_308" Type="http://schemas.openxmlformats.org/officeDocument/2006/relationships/hyperlink" Target="https://rotamaguswines.com/product/barolo-mascarello-bartolo-1958-magnum-cannubi/" TargetMode="External"/><Relationship Id="rId_hyperlink_309" Type="http://schemas.openxmlformats.org/officeDocument/2006/relationships/hyperlink" Target="https://rotamaguswines.com/product/barolo-mascarello-bartolo-1964-magnum/" TargetMode="External"/><Relationship Id="rId_hyperlink_310" Type="http://schemas.openxmlformats.org/officeDocument/2006/relationships/hyperlink" Target="https://rotamaguswines.com/product/barolo-mascarello-bartolo-1967/" TargetMode="External"/><Relationship Id="rId_hyperlink_311" Type="http://schemas.openxmlformats.org/officeDocument/2006/relationships/hyperlink" Target="https://rotamaguswines.com/product/barolo-mascarello-bartolo-1967-2/" TargetMode="External"/><Relationship Id="rId_hyperlink_312" Type="http://schemas.openxmlformats.org/officeDocument/2006/relationships/hyperlink" Target="https://rotamaguswines.com/product/barolo-mascarello-bartolo-1967-3/" TargetMode="External"/><Relationship Id="rId_hyperlink_313" Type="http://schemas.openxmlformats.org/officeDocument/2006/relationships/hyperlink" Target="https://rotamaguswines.com/product/barolo-mascarello-bartolo-1967-4/" TargetMode="External"/><Relationship Id="rId_hyperlink_314" Type="http://schemas.openxmlformats.org/officeDocument/2006/relationships/hyperlink" Target="https://rotamaguswines.com/product/barolo-mascarello-bartolo-1967-5/" TargetMode="External"/><Relationship Id="rId_hyperlink_315" Type="http://schemas.openxmlformats.org/officeDocument/2006/relationships/hyperlink" Target="https://rotamaguswines.com/product/barolo-mascarello-bartolo-1967-6/" TargetMode="External"/><Relationship Id="rId_hyperlink_316" Type="http://schemas.openxmlformats.org/officeDocument/2006/relationships/hyperlink" Target="https://rotamaguswines.com/product/barolo-mascarello-bartolo-1967-7/" TargetMode="External"/><Relationship Id="rId_hyperlink_317" Type="http://schemas.openxmlformats.org/officeDocument/2006/relationships/hyperlink" Target="https://rotamaguswines.com/product/barolo-mascarello-bartolo-1967-8/" TargetMode="External"/><Relationship Id="rId_hyperlink_318" Type="http://schemas.openxmlformats.org/officeDocument/2006/relationships/hyperlink" Target="https://rotamaguswines.com/product/barolo-mascarello-bartolo-1967-9/" TargetMode="External"/><Relationship Id="rId_hyperlink_319" Type="http://schemas.openxmlformats.org/officeDocument/2006/relationships/hyperlink" Target="https://rotamaguswines.com/product/barolo-mascarello-bartolo-1967-10/" TargetMode="External"/><Relationship Id="rId_hyperlink_320" Type="http://schemas.openxmlformats.org/officeDocument/2006/relationships/hyperlink" Target="https://rotamaguswines.com/product/barolo-mascarello-bartolo-1967-11/" TargetMode="External"/><Relationship Id="rId_hyperlink_321" Type="http://schemas.openxmlformats.org/officeDocument/2006/relationships/hyperlink" Target="https://rotamaguswines.com/product/barolo-mascarello-bartolo-1968/" TargetMode="External"/><Relationship Id="rId_hyperlink_322" Type="http://schemas.openxmlformats.org/officeDocument/2006/relationships/hyperlink" Target="https://rotamaguswines.com/product/barolo-mascarello-bartolo-1971/" TargetMode="External"/><Relationship Id="rId_hyperlink_323" Type="http://schemas.openxmlformats.org/officeDocument/2006/relationships/hyperlink" Target="https://rotamaguswines.com/product/barolo-mascarello-bartolo-1989/" TargetMode="External"/><Relationship Id="rId_hyperlink_324" Type="http://schemas.openxmlformats.org/officeDocument/2006/relationships/hyperlink" Target="https://rotamaguswines.com/product/barolo-mascarello-bartolo-1989-2/" TargetMode="External"/><Relationship Id="rId_hyperlink_325" Type="http://schemas.openxmlformats.org/officeDocument/2006/relationships/hyperlink" Target="https://rotamaguswines.com/product/barolo-mascarello-giuilio-cantina-cannubi-1971/" TargetMode="External"/><Relationship Id="rId_hyperlink_326" Type="http://schemas.openxmlformats.org/officeDocument/2006/relationships/hyperlink" Target="https://rotamaguswines.com/product/michele-mascarello-figli-la-morra-barolo-classico-1958-700ml/" TargetMode="External"/><Relationship Id="rId_hyperlink_327" Type="http://schemas.openxmlformats.org/officeDocument/2006/relationships/hyperlink" Target="https://rotamaguswines.com/product/grappa-romano-levi/" TargetMode="External"/><Relationship Id="rId_hyperlink_328" Type="http://schemas.openxmlformats.org/officeDocument/2006/relationships/hyperlink" Target="https://rotamaguswines.com/product/grappa-romano-levi-5-stella/" TargetMode="External"/><Relationship Id="rId_hyperlink_329" Type="http://schemas.openxmlformats.org/officeDocument/2006/relationships/hyperlink" Target="https://rotamaguswines.com/product/grappa-romano-levi-5-stella-2/" TargetMode="External"/><Relationship Id="rId_hyperlink_330" Type="http://schemas.openxmlformats.org/officeDocument/2006/relationships/hyperlink" Target="https://rotamaguswines.com/product/grappa-romano-levi-basilico-e-lemone-gradi-52/" TargetMode="External"/><Relationship Id="rId_hyperlink_331" Type="http://schemas.openxmlformats.org/officeDocument/2006/relationships/hyperlink" Target="https://rotamaguswines.com/product/grappa-romano-levi-deice-fiori/" TargetMode="External"/><Relationship Id="rId_hyperlink_332" Type="http://schemas.openxmlformats.org/officeDocument/2006/relationships/hyperlink" Target="https://rotamaguswines.com/product/grappa-romano-levi-frame/" TargetMode="External"/><Relationship Id="rId_hyperlink_333" Type="http://schemas.openxmlformats.org/officeDocument/2006/relationships/hyperlink" Target="https://rotamaguswines.com/product/grappa-romano-levi-nove-fiori/" TargetMode="External"/><Relationship Id="rId_hyperlink_334" Type="http://schemas.openxmlformats.org/officeDocument/2006/relationships/hyperlink" Target="https://rotamaguswines.com/product/grappa-romano-levi-originale-galletto-gradi-51/" TargetMode="External"/><Relationship Id="rId_hyperlink_335" Type="http://schemas.openxmlformats.org/officeDocument/2006/relationships/hyperlink" Target="https://rotamaguswines.com/product/grappa-romano-levi-originale-galletto-gradi-51-2/" TargetMode="External"/><Relationship Id="rId_hyperlink_336" Type="http://schemas.openxmlformats.org/officeDocument/2006/relationships/hyperlink" Target="https://rotamaguswines.com/product/grappa-romano-levi-salvia-cimo-e-camomilla-gradi-51/" TargetMode="External"/><Relationship Id="rId_hyperlink_337" Type="http://schemas.openxmlformats.org/officeDocument/2006/relationships/hyperlink" Target="https://rotamaguswines.com/product/brunello-di-montalcino-case-basse-gianfranco-soldera-1985/" TargetMode="External"/><Relationship Id="rId_hyperlink_338" Type="http://schemas.openxmlformats.org/officeDocument/2006/relationships/hyperlink" Target="https://rotamaguswines.com/product/caroni-cask-15-years-2000-cask-nr3790-one-of-214-bottled-2015-paul-ullrich-ag/" TargetMode="External"/><Relationship Id="rId_hyperlink_339" Type="http://schemas.openxmlformats.org/officeDocument/2006/relationships/hyperlink" Target="https://rotamaguswines.com/product/caroni-cask-20-years-1996-cask-nr3718-one-of-270-bottled-2016-stefano-cremaschi/" TargetMode="External"/><Relationship Id="rId_hyperlink_340" Type="http://schemas.openxmlformats.org/officeDocument/2006/relationships/hyperlink" Target="https://rotamaguswines.com/product/caroni-cask-20-years-1996-single-cask-nr3721-one-of-250-bottled-2016-old-whisky-fire/" TargetMode="External"/><Relationship Id="rId_hyperlink_341" Type="http://schemas.openxmlformats.org/officeDocument/2006/relationships/hyperlink" Target="https://rotamaguswines.com/product/cvne-vina-real-reserva-especial-1951-demie/" TargetMode="External"/><Relationship Id="rId_hyperlink_342" Type="http://schemas.openxmlformats.org/officeDocument/2006/relationships/hyperlink" Target="https://rotamaguswines.com/product/cvne-vina-real-reserva-especial-1951-demie-2/" TargetMode="External"/><Relationship Id="rId_hyperlink_343" Type="http://schemas.openxmlformats.org/officeDocument/2006/relationships/hyperlink" Target="https://rotamaguswines.com/product/cvne-vina-real-reserva-especial-1951-demie-3/" TargetMode="External"/><Relationship Id="rId_hyperlink_344" Type="http://schemas.openxmlformats.org/officeDocument/2006/relationships/hyperlink" Target="https://rotamaguswines.com/product/cvne-vina-real-reserva-especial-1951-demie-4/" TargetMode="External"/><Relationship Id="rId_hyperlink_345" Type="http://schemas.openxmlformats.org/officeDocument/2006/relationships/hyperlink" Target="https://rotamaguswines.com/product/cvne-vina-real-reserva-especial-1952/" TargetMode="External"/><Relationship Id="rId_hyperlink_346" Type="http://schemas.openxmlformats.org/officeDocument/2006/relationships/hyperlink" Target="https://rotamaguswines.com/product/r-lopez-de-heredia-vina-tondonia-gran-reserva-1942/" TargetMode="External"/><Relationship Id="rId_hyperlink_347" Type="http://schemas.openxmlformats.org/officeDocument/2006/relationships/hyperlink" Target="https://rotamaguswines.com/product/vega-sicilia-unico-1941/" TargetMode="External"/><Relationship Id="rId_hyperlink_348" Type="http://schemas.openxmlformats.org/officeDocument/2006/relationships/hyperlink" Target="https://rotamaguswines.com/product/vega-sicilia-unico-1941-2/" TargetMode="External"/><Relationship Id="rId_hyperlink_349" Type="http://schemas.openxmlformats.org/officeDocument/2006/relationships/hyperlink" Target="https://rotamaguswines.com/product/vega-sicilia-unico-1947/" TargetMode="External"/><Relationship Id="rId_hyperlink_350" Type="http://schemas.openxmlformats.org/officeDocument/2006/relationships/hyperlink" Target="https://rotamaguswines.com/product/vega-sicilia-unico-1947-2/" TargetMode="External"/><Relationship Id="rId_hyperlink_351" Type="http://schemas.openxmlformats.org/officeDocument/2006/relationships/hyperlink" Target="https://rotamaguswines.com/product/vega-sicilia-unico-1947-3/" TargetMode="External"/><Relationship Id="rId_hyperlink_352" Type="http://schemas.openxmlformats.org/officeDocument/2006/relationships/hyperlink" Target="https://rotamaguswines.com/product/vega-sicilia-unico-1953/" TargetMode="External"/><Relationship Id="rId_hyperlink_353" Type="http://schemas.openxmlformats.org/officeDocument/2006/relationships/hyperlink" Target="https://rotamaguswines.com/product/vega-sicilia-unico-1953-2/" TargetMode="External"/><Relationship Id="rId_hyperlink_354" Type="http://schemas.openxmlformats.org/officeDocument/2006/relationships/hyperlink" Target="https://rotamaguswines.com/product/vega-sicilia-unico-1953-3/" TargetMode="External"/><Relationship Id="rId_hyperlink_355" Type="http://schemas.openxmlformats.org/officeDocument/2006/relationships/hyperlink" Target="https://rotamaguswines.com/product/vega-sicilia-unico-1953-4/" TargetMode="External"/><Relationship Id="rId_hyperlink_356" Type="http://schemas.openxmlformats.org/officeDocument/2006/relationships/hyperlink" Target="https://rotamaguswines.com/product/vega-sicilia-unico-1953-5/" TargetMode="External"/><Relationship Id="rId_hyperlink_357" Type="http://schemas.openxmlformats.org/officeDocument/2006/relationships/hyperlink" Target="https://rotamaguswines.com/product/vega-sicilia-unico-1953-6/" TargetMode="External"/><Relationship Id="rId_hyperlink_358" Type="http://schemas.openxmlformats.org/officeDocument/2006/relationships/hyperlink" Target="https://rotamaguswines.com/product/vega-sicilia-unico-1959/" TargetMode="External"/><Relationship Id="rId_hyperlink_359" Type="http://schemas.openxmlformats.org/officeDocument/2006/relationships/hyperlink" Target="https://rotamaguswines.com/product/vega-sicilia-unico-1960-magnum/" TargetMode="External"/><Relationship Id="rId_hyperlink_360" Type="http://schemas.openxmlformats.org/officeDocument/2006/relationships/hyperlink" Target="https://rotamaguswines.com/product/vega-sicilia-unico-1962/" TargetMode="External"/><Relationship Id="rId_hyperlink_361" Type="http://schemas.openxmlformats.org/officeDocument/2006/relationships/hyperlink" Target="https://rotamaguswines.com/product/vega-sicilia-unico-1962-2/" TargetMode="External"/><Relationship Id="rId_hyperlink_362" Type="http://schemas.openxmlformats.org/officeDocument/2006/relationships/hyperlink" Target="https://rotamaguswines.com/product/vega-sicilia-unico-1962-3/" TargetMode="External"/><Relationship Id="rId_hyperlink_363" Type="http://schemas.openxmlformats.org/officeDocument/2006/relationships/hyperlink" Target="https://rotamaguswines.com/product/vega-sicilia-unico-1962-magnum/" TargetMode="External"/><Relationship Id="rId_hyperlink_364" Type="http://schemas.openxmlformats.org/officeDocument/2006/relationships/hyperlink" Target="https://rotamaguswines.com/product/vega-sicilia-unico-1964/" TargetMode="External"/><Relationship Id="rId_hyperlink_365" Type="http://schemas.openxmlformats.org/officeDocument/2006/relationships/hyperlink" Target="https://rotamaguswines.com/product/vega-sicilia-unico-1964-2/" TargetMode="External"/><Relationship Id="rId_hyperlink_366" Type="http://schemas.openxmlformats.org/officeDocument/2006/relationships/hyperlink" Target="https://rotamaguswines.com/product/vega-sicilia-unico-1964-3/" TargetMode="External"/><Relationship Id="rId_hyperlink_367" Type="http://schemas.openxmlformats.org/officeDocument/2006/relationships/hyperlink" Target="https://rotamaguswines.com/product/vega-sicilia-unico-1964-4/" TargetMode="External"/><Relationship Id="rId_hyperlink_368" Type="http://schemas.openxmlformats.org/officeDocument/2006/relationships/hyperlink" Target="https://rotamaguswines.com/product/vega-sicilia-unico-1964-5/" TargetMode="External"/><Relationship Id="rId_hyperlink_369" Type="http://schemas.openxmlformats.org/officeDocument/2006/relationships/hyperlink" Target="https://rotamaguswines.com/product/vega-sicilia-unico-1964-6/" TargetMode="External"/><Relationship Id="rId_hyperlink_370" Type="http://schemas.openxmlformats.org/officeDocument/2006/relationships/hyperlink" Target="https://rotamaguswines.com/product/vega-sicilia-unico-1966/" TargetMode="External"/><Relationship Id="rId_hyperlink_371" Type="http://schemas.openxmlformats.org/officeDocument/2006/relationships/hyperlink" Target="https://rotamaguswines.com/product/vega-sicilia-unico-1968/" TargetMode="External"/><Relationship Id="rId_hyperlink_372" Type="http://schemas.openxmlformats.org/officeDocument/2006/relationships/hyperlink" Target="https://rotamaguswines.com/product/vega-sicilia-unico-1968-magnum/" TargetMode="External"/><Relationship Id="rId_hyperlink_373" Type="http://schemas.openxmlformats.org/officeDocument/2006/relationships/hyperlink" Target="https://rotamaguswines.com/product/vega-sicilia-unico-1970-magnum/" TargetMode="External"/><Relationship Id="rId_hyperlink_374" Type="http://schemas.openxmlformats.org/officeDocument/2006/relationships/hyperlink" Target="https://rotamaguswines.com/product/vega-sicilia-unico-1972-magnum/" TargetMode="External"/><Relationship Id="rId_hyperlink_375" Type="http://schemas.openxmlformats.org/officeDocument/2006/relationships/hyperlink" Target="https://rotamaguswines.com/product/vega-sicilia-unico-1972-magnum-2/" TargetMode="External"/><Relationship Id="rId_hyperlink_376" Type="http://schemas.openxmlformats.org/officeDocument/2006/relationships/hyperlink" Target="https://rotamaguswines.com/product/vega-sicilia-unico-1974/" TargetMode="External"/><Relationship Id="rId_hyperlink_377" Type="http://schemas.openxmlformats.org/officeDocument/2006/relationships/hyperlink" Target="https://rotamaguswines.com/product/vega-sicilia-unico-1974-2/" TargetMode="External"/><Relationship Id="rId_hyperlink_378" Type="http://schemas.openxmlformats.org/officeDocument/2006/relationships/hyperlink" Target="https://rotamaguswines.com/product/vega-sicilia-unico-1975-magnum/" TargetMode="External"/><Relationship Id="rId_hyperlink_379" Type="http://schemas.openxmlformats.org/officeDocument/2006/relationships/hyperlink" Target="https://rotamaguswines.com/product/vega-sicilia-unico-1976-magnum/" TargetMode="External"/><Relationship Id="rId_hyperlink_380" Type="http://schemas.openxmlformats.org/officeDocument/2006/relationships/hyperlink" Target="https://rotamaguswines.com/product/vega-sicilia-unico-1979-magnum/" TargetMode="External"/><Relationship Id="rId_hyperlink_381" Type="http://schemas.openxmlformats.org/officeDocument/2006/relationships/hyperlink" Target="https://rotamaguswines.com/product/vega-sicilia-unico-1980-magnum/" TargetMode="External"/><Relationship Id="rId_hyperlink_382" Type="http://schemas.openxmlformats.org/officeDocument/2006/relationships/hyperlink" Target="https://rotamaguswines.com/product/vega-sicilia-unico-1981-magnum/" TargetMode="External"/><Relationship Id="rId_hyperlink_383" Type="http://schemas.openxmlformats.org/officeDocument/2006/relationships/hyperlink" Target="https://rotamaguswines.com/product/vega-sicilia-unico-1982-magnum/" TargetMode="External"/><Relationship Id="rId_hyperlink_384" Type="http://schemas.openxmlformats.org/officeDocument/2006/relationships/hyperlink" Target="https://rotamaguswines.com/product/vega-sicilia-unico-1983/" TargetMode="External"/><Relationship Id="rId_hyperlink_385" Type="http://schemas.openxmlformats.org/officeDocument/2006/relationships/hyperlink" Target="https://rotamaguswines.com/product/vega-sicilia-unico-1985-double-magnum/" TargetMode="External"/><Relationship Id="rId_hyperlink_386" Type="http://schemas.openxmlformats.org/officeDocument/2006/relationships/hyperlink" Target="https://rotamaguswines.com/product/vega-sicilia-unico-1985-magnum/" TargetMode="External"/><Relationship Id="rId_hyperlink_387" Type="http://schemas.openxmlformats.org/officeDocument/2006/relationships/hyperlink" Target="https://rotamaguswines.com/product/vega-sicilia-unico-1986/" TargetMode="External"/><Relationship Id="rId_hyperlink_388" Type="http://schemas.openxmlformats.org/officeDocument/2006/relationships/hyperlink" Target="https://rotamaguswines.com/product/vega-sicilia-unico-1986-magnum/" TargetMode="External"/><Relationship Id="rId_hyperlink_389" Type="http://schemas.openxmlformats.org/officeDocument/2006/relationships/hyperlink" Target="https://rotamaguswines.com/product/vega-sicilia-unico-1987-magnum/" TargetMode="External"/><Relationship Id="rId_hyperlink_390" Type="http://schemas.openxmlformats.org/officeDocument/2006/relationships/hyperlink" Target="https://rotamaguswines.com/product/vega-sicilia-unico-1989-magnum/" TargetMode="External"/><Relationship Id="rId_hyperlink_391" Type="http://schemas.openxmlformats.org/officeDocument/2006/relationships/hyperlink" Target="https://rotamaguswines.com/product/vega-sicilia-unico-1999-magnum/" TargetMode="External"/><Relationship Id="rId_hyperlink_392" Type="http://schemas.openxmlformats.org/officeDocument/2006/relationships/hyperlink" Target="https://rotamaguswines.com/product/vega-sicilia-unico-2000-magnum/" TargetMode="External"/><Relationship Id="rId_hyperlink_393" Type="http://schemas.openxmlformats.org/officeDocument/2006/relationships/hyperlink" Target="https://rotamaguswines.com/product/vega-sicilia-unico-2002-magnum/" TargetMode="External"/><Relationship Id="rId_hyperlink_394" Type="http://schemas.openxmlformats.org/officeDocument/2006/relationships/hyperlink" Target="https://rotamaguswines.com/product/ygay-riserva-especial-1925/" TargetMode="External"/><Relationship Id="rId_hyperlink_395" Type="http://schemas.openxmlformats.org/officeDocument/2006/relationships/hyperlink" Target="https://rotamaguswines.com/product/whisky-campbeltown-single-malt-longrown-25-years-old-1974/" TargetMode="External"/><Relationship Id="rId_hyperlink_396" Type="http://schemas.openxmlformats.org/officeDocument/2006/relationships/hyperlink" Target="https://rotamaguswines.com/product/whisky-glen-albyn-10-years-old-60s-70s/" TargetMode="External"/><Relationship Id="rId_hyperlink_397" Type="http://schemas.openxmlformats.org/officeDocument/2006/relationships/hyperlink" Target="https://rotamaguswines.com/product/whiskey-weller-and-sons-kentucky-straight-bourbon-original-10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K398"/>
  <sheetViews>
    <sheetView tabSelected="1" workbookViewId="0" showGridLines="true" showRowColHeaders="1">
      <pane ySplit="1" activePane="bottomLeft" state="frozen" topLeftCell="A2"/>
      <selection pane="bottomLeft" activeCell="A1" sqref="A1:K398"/>
    </sheetView>
  </sheetViews>
  <sheetFormatPr defaultRowHeight="14.4" outlineLevelRow="0" outlineLevelCol="0"/>
  <cols>
    <col min="1" max="1" width="44" customWidth="true" style="0"/>
    <col min="2" max="2" width="10" customWidth="true" style="0"/>
    <col min="3" max="3" width="18" customWidth="true" style="0"/>
    <col min="4" max="4" width="22" customWidth="true" style="0"/>
    <col min="5" max="5" width="68" customWidth="true" style="0"/>
    <col min="6" max="6" width="14" customWidth="true" style="0"/>
    <col min="7" max="7" width="16" customWidth="true" style="0"/>
    <col min="8" max="8" width="18" customWidth="true" style="0"/>
    <col min="9" max="9" width="26" customWidth="true" style="0"/>
    <col min="10" max="10" width="48" customWidth="true" style="0"/>
    <col min="11" max="11" width="34" customWidth="true" style="0"/>
  </cols>
  <sheetData>
    <row r="1" spans="1:11" customHeight="1" ht="10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2" t="s">
        <v>11</v>
      </c>
      <c r="B2" s="4">
        <v>1953.0</v>
      </c>
      <c r="C2" s="2" t="s">
        <v>12</v>
      </c>
      <c r="D2" s="6">
        <v>1800.0</v>
      </c>
      <c r="E2" s="2" t="s">
        <v>13</v>
      </c>
      <c r="F2" s="2" t="s">
        <v>14</v>
      </c>
      <c r="G2" s="2" t="s">
        <v>15</v>
      </c>
      <c r="H2" s="8" t="s">
        <v>16</v>
      </c>
      <c r="I2" s="8" t="s">
        <v>17</v>
      </c>
      <c r="J2" s="10" t="str">
        <f>HYPERLINK("https://rotamaguswines.com/product/margaux-1953/","https://rotamaguswines.com/product/margaux-1953/")</f>
        <v>https://rotamaguswines.com/product/margaux-1953/</v>
      </c>
      <c r="K2" s="8" t="s">
        <v>18</v>
      </c>
    </row>
    <row r="3" spans="1:11">
      <c r="A3" s="3" t="s">
        <v>19</v>
      </c>
      <c r="B3" s="5">
        <v>1955.0</v>
      </c>
      <c r="C3" s="3" t="s">
        <v>12</v>
      </c>
      <c r="D3" s="7">
        <v>1500.0</v>
      </c>
      <c r="E3" s="3" t="s">
        <v>20</v>
      </c>
      <c r="F3" s="3" t="s">
        <v>14</v>
      </c>
      <c r="G3" s="3" t="s">
        <v>15</v>
      </c>
      <c r="H3" s="9" t="s">
        <v>16</v>
      </c>
      <c r="I3" s="9" t="s">
        <v>21</v>
      </c>
      <c r="J3" s="11" t="str">
        <f>HYPERLINK("https://rotamaguswines.com/product/palmer-1955/","https://rotamaguswines.com/product/palmer-1955/")</f>
        <v>https://rotamaguswines.com/product/palmer-1955/</v>
      </c>
      <c r="K3" s="9" t="s">
        <v>22</v>
      </c>
    </row>
    <row r="4" spans="1:11">
      <c r="A4" s="2" t="s">
        <v>23</v>
      </c>
      <c r="B4" s="4">
        <v>1959.0</v>
      </c>
      <c r="C4" s="2" t="s">
        <v>12</v>
      </c>
      <c r="D4" s="6">
        <v>2200.0</v>
      </c>
      <c r="E4" s="2" t="s">
        <v>24</v>
      </c>
      <c r="F4" s="2" t="s">
        <v>14</v>
      </c>
      <c r="G4" s="2" t="s">
        <v>15</v>
      </c>
      <c r="H4" s="8" t="s">
        <v>16</v>
      </c>
      <c r="I4" s="8" t="s">
        <v>21</v>
      </c>
      <c r="J4" s="10" t="str">
        <f>HYPERLINK("https://rotamaguswines.com/product/palmer-1959/","https://rotamaguswines.com/product/palmer-1959/")</f>
        <v>https://rotamaguswines.com/product/palmer-1959/</v>
      </c>
      <c r="K4" s="8" t="s">
        <v>25</v>
      </c>
    </row>
    <row r="5" spans="1:11">
      <c r="A5" s="3" t="s">
        <v>26</v>
      </c>
      <c r="B5" s="5">
        <v>1961.0</v>
      </c>
      <c r="C5" s="3" t="s">
        <v>27</v>
      </c>
      <c r="D5" s="7">
        <v>85000.0</v>
      </c>
      <c r="E5" s="3" t="s">
        <v>28</v>
      </c>
      <c r="F5" s="3" t="s">
        <v>14</v>
      </c>
      <c r="G5" s="3" t="s">
        <v>15</v>
      </c>
      <c r="H5" s="9" t="s">
        <v>16</v>
      </c>
      <c r="I5" s="9" t="s">
        <v>21</v>
      </c>
      <c r="J5" s="11" t="str">
        <f>HYPERLINK("https://rotamaguswines.com/product/palmer-1961-owc12/","https://rotamaguswines.com/product/palmer-1961-owc12/")</f>
        <v>https://rotamaguswines.com/product/palmer-1961-owc12/</v>
      </c>
      <c r="K5" s="9" t="s">
        <v>29</v>
      </c>
    </row>
    <row r="6" spans="1:11">
      <c r="A6" s="2" t="s">
        <v>30</v>
      </c>
      <c r="B6" s="4">
        <v>1916.0</v>
      </c>
      <c r="C6" s="2" t="s">
        <v>12</v>
      </c>
      <c r="D6" s="6">
        <v>557.0</v>
      </c>
      <c r="E6" s="2" t="s">
        <v>31</v>
      </c>
      <c r="F6" s="2" t="s">
        <v>14</v>
      </c>
      <c r="G6" s="2" t="s">
        <v>15</v>
      </c>
      <c r="H6" s="8" t="s">
        <v>32</v>
      </c>
      <c r="I6" s="8" t="s">
        <v>33</v>
      </c>
      <c r="J6" s="10" t="str">
        <f>HYPERLINK("https://rotamaguswines.com/product/darmailhacq-1916/","https://rotamaguswines.com/product/darmailhacq-1916/")</f>
        <v>https://rotamaguswines.com/product/darmailhacq-1916/</v>
      </c>
      <c r="K6" s="8" t="s">
        <v>34</v>
      </c>
    </row>
    <row r="7" spans="1:11">
      <c r="A7" s="3" t="s">
        <v>30</v>
      </c>
      <c r="B7" s="5">
        <v>1916.0</v>
      </c>
      <c r="C7" s="3" t="s">
        <v>12</v>
      </c>
      <c r="D7" s="7">
        <v>557.0</v>
      </c>
      <c r="E7" s="3" t="s">
        <v>35</v>
      </c>
      <c r="F7" s="3" t="s">
        <v>14</v>
      </c>
      <c r="G7" s="3" t="s">
        <v>15</v>
      </c>
      <c r="H7" s="9" t="s">
        <v>32</v>
      </c>
      <c r="I7" s="9" t="s">
        <v>33</v>
      </c>
      <c r="J7" s="11" t="str">
        <f>HYPERLINK("https://rotamaguswines.com/product/darmailhacq-1916-2/","https://rotamaguswines.com/product/darmailhacq-1916-2/")</f>
        <v>https://rotamaguswines.com/product/darmailhacq-1916-2/</v>
      </c>
      <c r="K7" s="9" t="s">
        <v>36</v>
      </c>
    </row>
    <row r="8" spans="1:11">
      <c r="A8" s="2" t="s">
        <v>37</v>
      </c>
      <c r="B8" s="4">
        <v>1902.0</v>
      </c>
      <c r="C8" s="2" t="s">
        <v>12</v>
      </c>
      <c r="D8" s="6">
        <v>2800.0</v>
      </c>
      <c r="E8" s="2" t="s">
        <v>38</v>
      </c>
      <c r="F8" s="2" t="s">
        <v>14</v>
      </c>
      <c r="G8" s="2" t="s">
        <v>15</v>
      </c>
      <c r="H8" s="8" t="s">
        <v>39</v>
      </c>
      <c r="I8" s="8" t="s">
        <v>40</v>
      </c>
      <c r="J8" s="10" t="str">
        <f>HYPERLINK("https://rotamaguswines.com/product/lafite-rothschild-1902/","https://rotamaguswines.com/product/lafite-rothschild-1902/")</f>
        <v>https://rotamaguswines.com/product/lafite-rothschild-1902/</v>
      </c>
      <c r="K8" s="8" t="s">
        <v>41</v>
      </c>
    </row>
    <row r="9" spans="1:11">
      <c r="A9" s="3" t="s">
        <v>42</v>
      </c>
      <c r="B9" s="5">
        <v>1953.0</v>
      </c>
      <c r="C9" s="3" t="s">
        <v>12</v>
      </c>
      <c r="D9" s="7">
        <v>4200.0</v>
      </c>
      <c r="E9" s="3" t="s">
        <v>43</v>
      </c>
      <c r="F9" s="3" t="s">
        <v>14</v>
      </c>
      <c r="G9" s="3" t="s">
        <v>15</v>
      </c>
      <c r="H9" s="9" t="s">
        <v>39</v>
      </c>
      <c r="I9" s="9" t="s">
        <v>40</v>
      </c>
      <c r="J9" s="11" t="str">
        <f>HYPERLINK("https://rotamaguswines.com/product/lafite-rothschild-1953/","https://rotamaguswines.com/product/lafite-rothschild-1953/")</f>
        <v>https://rotamaguswines.com/product/lafite-rothschild-1953/</v>
      </c>
      <c r="K9" s="9" t="s">
        <v>44</v>
      </c>
    </row>
    <row r="10" spans="1:11">
      <c r="A10" s="2" t="s">
        <v>42</v>
      </c>
      <c r="B10" s="4">
        <v>1953.0</v>
      </c>
      <c r="C10" s="2" t="s">
        <v>12</v>
      </c>
      <c r="D10" s="6">
        <v>4200.0</v>
      </c>
      <c r="E10" s="2" t="s">
        <v>45</v>
      </c>
      <c r="F10" s="2" t="s">
        <v>14</v>
      </c>
      <c r="G10" s="2" t="s">
        <v>15</v>
      </c>
      <c r="H10" s="8" t="s">
        <v>39</v>
      </c>
      <c r="I10" s="8" t="s">
        <v>40</v>
      </c>
      <c r="J10" s="10" t="str">
        <f>HYPERLINK("https://rotamaguswines.com/product/lafite-rothschild-1953-2/","https://rotamaguswines.com/product/lafite-rothschild-1953-2/")</f>
        <v>https://rotamaguswines.com/product/lafite-rothschild-1953-2/</v>
      </c>
      <c r="K10" s="8" t="s">
        <v>46</v>
      </c>
    </row>
    <row r="11" spans="1:11">
      <c r="A11" s="3" t="s">
        <v>47</v>
      </c>
      <c r="B11" s="5">
        <v>1972.0</v>
      </c>
      <c r="C11" s="3" t="s">
        <v>12</v>
      </c>
      <c r="D11" s="7">
        <v>537.0</v>
      </c>
      <c r="E11" s="3" t="s">
        <v>48</v>
      </c>
      <c r="F11" s="3" t="s">
        <v>14</v>
      </c>
      <c r="G11" s="3" t="s">
        <v>15</v>
      </c>
      <c r="H11" s="9" t="s">
        <v>39</v>
      </c>
      <c r="I11" s="9" t="s">
        <v>40</v>
      </c>
      <c r="J11" s="11" t="str">
        <f>HYPERLINK("https://rotamaguswines.com/product/lafite-rothschild-1972/","https://rotamaguswines.com/product/lafite-rothschild-1972/")</f>
        <v>https://rotamaguswines.com/product/lafite-rothschild-1972/</v>
      </c>
      <c r="K11" s="9" t="s">
        <v>49</v>
      </c>
    </row>
    <row r="12" spans="1:11">
      <c r="A12" s="2" t="s">
        <v>50</v>
      </c>
      <c r="B12" s="4">
        <v>1982.0</v>
      </c>
      <c r="C12" s="2" t="s">
        <v>12</v>
      </c>
      <c r="D12" s="6">
        <v>2300.0</v>
      </c>
      <c r="E12" s="2" t="s">
        <v>51</v>
      </c>
      <c r="F12" s="2" t="s">
        <v>14</v>
      </c>
      <c r="G12" s="2" t="s">
        <v>15</v>
      </c>
      <c r="H12" s="8" t="s">
        <v>39</v>
      </c>
      <c r="I12" s="8" t="s">
        <v>40</v>
      </c>
      <c r="J12" s="10" t="str">
        <f>HYPERLINK("https://rotamaguswines.com/product/lafite-rothschild-1982/","https://rotamaguswines.com/product/lafite-rothschild-1982/")</f>
        <v>https://rotamaguswines.com/product/lafite-rothschild-1982/</v>
      </c>
      <c r="K12" s="8" t="s">
        <v>52</v>
      </c>
    </row>
    <row r="13" spans="1:11">
      <c r="A13" s="3" t="s">
        <v>53</v>
      </c>
      <c r="B13" s="5">
        <v>1922.0</v>
      </c>
      <c r="C13" s="3" t="s">
        <v>12</v>
      </c>
      <c r="D13" s="7">
        <v>637.0</v>
      </c>
      <c r="E13" s="3" t="s">
        <v>54</v>
      </c>
      <c r="F13" s="3" t="s">
        <v>14</v>
      </c>
      <c r="G13" s="3" t="s">
        <v>15</v>
      </c>
      <c r="H13" s="9" t="s">
        <v>39</v>
      </c>
      <c r="I13" s="9" t="s">
        <v>55</v>
      </c>
      <c r="J13" s="11" t="str">
        <f>HYPERLINK("https://rotamaguswines.com/product/latour-1922/","https://rotamaguswines.com/product/latour-1922/")</f>
        <v>https://rotamaguswines.com/product/latour-1922/</v>
      </c>
      <c r="K13" s="9" t="s">
        <v>56</v>
      </c>
    </row>
    <row r="14" spans="1:11">
      <c r="A14" s="2" t="s">
        <v>57</v>
      </c>
      <c r="B14" s="4">
        <v>1947.0</v>
      </c>
      <c r="C14" s="2" t="s">
        <v>12</v>
      </c>
      <c r="D14" s="6">
        <v>2500.0</v>
      </c>
      <c r="E14" s="2" t="s">
        <v>58</v>
      </c>
      <c r="F14" s="2" t="s">
        <v>14</v>
      </c>
      <c r="G14" s="2" t="s">
        <v>15</v>
      </c>
      <c r="H14" s="8" t="s">
        <v>39</v>
      </c>
      <c r="I14" s="8" t="s">
        <v>55</v>
      </c>
      <c r="J14" s="10" t="str">
        <f>HYPERLINK("https://rotamaguswines.com/product/latour-1947/","https://rotamaguswines.com/product/latour-1947/")</f>
        <v>https://rotamaguswines.com/product/latour-1947/</v>
      </c>
      <c r="K14" s="8" t="s">
        <v>59</v>
      </c>
    </row>
    <row r="15" spans="1:11">
      <c r="A15" s="3" t="s">
        <v>60</v>
      </c>
      <c r="B15" s="5">
        <v>1966.0</v>
      </c>
      <c r="C15" s="3" t="s">
        <v>12</v>
      </c>
      <c r="D15" s="7">
        <v>937.0</v>
      </c>
      <c r="E15" s="3" t="s">
        <v>61</v>
      </c>
      <c r="F15" s="3" t="s">
        <v>14</v>
      </c>
      <c r="G15" s="3" t="s">
        <v>15</v>
      </c>
      <c r="H15" s="9" t="s">
        <v>39</v>
      </c>
      <c r="I15" s="9" t="s">
        <v>55</v>
      </c>
      <c r="J15" s="11" t="str">
        <f>HYPERLINK("https://rotamaguswines.com/product/latour-1966/","https://rotamaguswines.com/product/latour-1966/")</f>
        <v>https://rotamaguswines.com/product/latour-1966/</v>
      </c>
      <c r="K15" s="9" t="s">
        <v>62</v>
      </c>
    </row>
    <row r="16" spans="1:11">
      <c r="A16" s="2" t="s">
        <v>63</v>
      </c>
      <c r="B16" s="4">
        <v>1982.0</v>
      </c>
      <c r="C16" s="2" t="s">
        <v>12</v>
      </c>
      <c r="D16" s="6">
        <v>1700.0</v>
      </c>
      <c r="E16" s="2" t="s">
        <v>64</v>
      </c>
      <c r="F16" s="2" t="s">
        <v>14</v>
      </c>
      <c r="G16" s="2" t="s">
        <v>15</v>
      </c>
      <c r="H16" s="8" t="s">
        <v>39</v>
      </c>
      <c r="I16" s="8" t="s">
        <v>55</v>
      </c>
      <c r="J16" s="10" t="str">
        <f>HYPERLINK("https://rotamaguswines.com/product/latour-1982/","https://rotamaguswines.com/product/latour-1982/")</f>
        <v>https://rotamaguswines.com/product/latour-1982/</v>
      </c>
      <c r="K16" s="8" t="s">
        <v>65</v>
      </c>
    </row>
    <row r="17" spans="1:11">
      <c r="A17" s="3" t="s">
        <v>66</v>
      </c>
      <c r="B17" s="5">
        <v>1988.0</v>
      </c>
      <c r="C17" s="3" t="s">
        <v>12</v>
      </c>
      <c r="D17" s="7">
        <v>477.0</v>
      </c>
      <c r="E17" s="3" t="s">
        <v>64</v>
      </c>
      <c r="F17" s="3" t="s">
        <v>14</v>
      </c>
      <c r="G17" s="3" t="s">
        <v>15</v>
      </c>
      <c r="H17" s="9" t="s">
        <v>39</v>
      </c>
      <c r="I17" s="9" t="s">
        <v>55</v>
      </c>
      <c r="J17" s="11" t="str">
        <f>HYPERLINK("https://rotamaguswines.com/product/latour-1988/","https://rotamaguswines.com/product/latour-1988/")</f>
        <v>https://rotamaguswines.com/product/latour-1988/</v>
      </c>
      <c r="K17" s="9" t="s">
        <v>67</v>
      </c>
    </row>
    <row r="18" spans="1:11">
      <c r="A18" s="2" t="s">
        <v>68</v>
      </c>
      <c r="B18" s="4">
        <v>1991.0</v>
      </c>
      <c r="C18" s="2" t="s">
        <v>12</v>
      </c>
      <c r="D18" s="6">
        <v>417.0</v>
      </c>
      <c r="E18" s="2" t="s">
        <v>69</v>
      </c>
      <c r="F18" s="2" t="s">
        <v>14</v>
      </c>
      <c r="G18" s="2" t="s">
        <v>15</v>
      </c>
      <c r="H18" s="8" t="s">
        <v>39</v>
      </c>
      <c r="I18" s="8" t="s">
        <v>55</v>
      </c>
      <c r="J18" s="10" t="str">
        <f>HYPERLINK("https://rotamaguswines.com/product/latour-1991/","https://rotamaguswines.com/product/latour-1991/")</f>
        <v>https://rotamaguswines.com/product/latour-1991/</v>
      </c>
      <c r="K18" s="8" t="s">
        <v>70</v>
      </c>
    </row>
    <row r="19" spans="1:11">
      <c r="A19" s="3" t="s">
        <v>71</v>
      </c>
      <c r="B19" s="5">
        <v>1996.0</v>
      </c>
      <c r="C19" s="3" t="s">
        <v>12</v>
      </c>
      <c r="D19" s="7">
        <v>557.0</v>
      </c>
      <c r="E19" s="3" t="s">
        <v>69</v>
      </c>
      <c r="F19" s="3" t="s">
        <v>14</v>
      </c>
      <c r="G19" s="3" t="s">
        <v>15</v>
      </c>
      <c r="H19" s="9" t="s">
        <v>39</v>
      </c>
      <c r="I19" s="9" t="s">
        <v>55</v>
      </c>
      <c r="J19" s="11" t="str">
        <f>HYPERLINK("https://rotamaguswines.com/product/latour-1996/","https://rotamaguswines.com/product/latour-1996/")</f>
        <v>https://rotamaguswines.com/product/latour-1996/</v>
      </c>
      <c r="K19" s="9" t="s">
        <v>72</v>
      </c>
    </row>
    <row r="20" spans="1:11">
      <c r="A20" s="2" t="s">
        <v>73</v>
      </c>
      <c r="B20" s="4">
        <v>1997.0</v>
      </c>
      <c r="C20" s="2" t="s">
        <v>12</v>
      </c>
      <c r="D20" s="6">
        <v>427.0</v>
      </c>
      <c r="E20" s="2" t="s">
        <v>74</v>
      </c>
      <c r="F20" s="2" t="s">
        <v>14</v>
      </c>
      <c r="G20" s="2" t="s">
        <v>15</v>
      </c>
      <c r="H20" s="8" t="s">
        <v>39</v>
      </c>
      <c r="I20" s="8" t="s">
        <v>55</v>
      </c>
      <c r="J20" s="10" t="str">
        <f>HYPERLINK("https://rotamaguswines.com/product/latour-1997/","https://rotamaguswines.com/product/latour-1997/")</f>
        <v>https://rotamaguswines.com/product/latour-1997/</v>
      </c>
      <c r="K20" s="8" t="s">
        <v>75</v>
      </c>
    </row>
    <row r="21" spans="1:11">
      <c r="A21" s="3" t="s">
        <v>76</v>
      </c>
      <c r="B21" s="5">
        <v>1953.0</v>
      </c>
      <c r="C21" s="3" t="s">
        <v>12</v>
      </c>
      <c r="D21" s="7">
        <v>807.0</v>
      </c>
      <c r="E21" s="3" t="s">
        <v>77</v>
      </c>
      <c r="F21" s="3" t="s">
        <v>14</v>
      </c>
      <c r="G21" s="3" t="s">
        <v>15</v>
      </c>
      <c r="H21" s="9" t="s">
        <v>39</v>
      </c>
      <c r="I21" s="9" t="s">
        <v>78</v>
      </c>
      <c r="J21" s="11" t="str">
        <f>HYPERLINK("https://rotamaguswines.com/product/lynch-bages-1953/","https://rotamaguswines.com/product/lynch-bages-1953/")</f>
        <v>https://rotamaguswines.com/product/lynch-bages-1953/</v>
      </c>
      <c r="K21" s="9" t="s">
        <v>79</v>
      </c>
    </row>
    <row r="22" spans="1:11">
      <c r="A22" s="2" t="s">
        <v>76</v>
      </c>
      <c r="B22" s="4">
        <v>1953.0</v>
      </c>
      <c r="C22" s="2" t="s">
        <v>12</v>
      </c>
      <c r="D22" s="6">
        <v>807.0</v>
      </c>
      <c r="E22" s="2" t="s">
        <v>77</v>
      </c>
      <c r="F22" s="2" t="s">
        <v>14</v>
      </c>
      <c r="G22" s="2" t="s">
        <v>15</v>
      </c>
      <c r="H22" s="8" t="s">
        <v>39</v>
      </c>
      <c r="I22" s="8" t="s">
        <v>78</v>
      </c>
      <c r="J22" s="10" t="str">
        <f>HYPERLINK("https://rotamaguswines.com/product/lynch-bages-1953-2/","https://rotamaguswines.com/product/lynch-bages-1953-2/")</f>
        <v>https://rotamaguswines.com/product/lynch-bages-1953-2/</v>
      </c>
      <c r="K22" s="8" t="s">
        <v>80</v>
      </c>
    </row>
    <row r="23" spans="1:11">
      <c r="A23" s="3" t="s">
        <v>76</v>
      </c>
      <c r="B23" s="5">
        <v>1953.0</v>
      </c>
      <c r="C23" s="3" t="s">
        <v>12</v>
      </c>
      <c r="D23" s="7">
        <v>807.0</v>
      </c>
      <c r="E23" s="3" t="s">
        <v>77</v>
      </c>
      <c r="F23" s="3" t="s">
        <v>14</v>
      </c>
      <c r="G23" s="3" t="s">
        <v>15</v>
      </c>
      <c r="H23" s="9" t="s">
        <v>39</v>
      </c>
      <c r="I23" s="9" t="s">
        <v>78</v>
      </c>
      <c r="J23" s="11" t="str">
        <f>HYPERLINK("https://rotamaguswines.com/product/lynch-bages-1953-3/","https://rotamaguswines.com/product/lynch-bages-1953-3/")</f>
        <v>https://rotamaguswines.com/product/lynch-bages-1953-3/</v>
      </c>
      <c r="K23" s="9" t="s">
        <v>81</v>
      </c>
    </row>
    <row r="24" spans="1:11">
      <c r="A24" s="2" t="s">
        <v>76</v>
      </c>
      <c r="B24" s="4">
        <v>1953.0</v>
      </c>
      <c r="C24" s="2" t="s">
        <v>12</v>
      </c>
      <c r="D24" s="6">
        <v>807.0</v>
      </c>
      <c r="E24" s="2" t="s">
        <v>77</v>
      </c>
      <c r="F24" s="2" t="s">
        <v>14</v>
      </c>
      <c r="G24" s="2" t="s">
        <v>15</v>
      </c>
      <c r="H24" s="8" t="s">
        <v>39</v>
      </c>
      <c r="I24" s="8" t="s">
        <v>78</v>
      </c>
      <c r="J24" s="10" t="str">
        <f>HYPERLINK("https://rotamaguswines.com/product/lynch-bages-1953-4/","https://rotamaguswines.com/product/lynch-bages-1953-4/")</f>
        <v>https://rotamaguswines.com/product/lynch-bages-1953-4/</v>
      </c>
      <c r="K24" s="8" t="s">
        <v>82</v>
      </c>
    </row>
    <row r="25" spans="1:11">
      <c r="A25" s="3" t="s">
        <v>76</v>
      </c>
      <c r="B25" s="5">
        <v>1953.0</v>
      </c>
      <c r="C25" s="3" t="s">
        <v>12</v>
      </c>
      <c r="D25" s="7">
        <v>807.0</v>
      </c>
      <c r="E25" s="3" t="s">
        <v>77</v>
      </c>
      <c r="F25" s="3" t="s">
        <v>14</v>
      </c>
      <c r="G25" s="3" t="s">
        <v>15</v>
      </c>
      <c r="H25" s="9" t="s">
        <v>39</v>
      </c>
      <c r="I25" s="9" t="s">
        <v>78</v>
      </c>
      <c r="J25" s="11" t="str">
        <f>HYPERLINK("https://rotamaguswines.com/product/lynch-bages-1953-5/","https://rotamaguswines.com/product/lynch-bages-1953-5/")</f>
        <v>https://rotamaguswines.com/product/lynch-bages-1953-5/</v>
      </c>
      <c r="K25" s="9" t="s">
        <v>83</v>
      </c>
    </row>
    <row r="26" spans="1:11">
      <c r="A26" s="2" t="s">
        <v>76</v>
      </c>
      <c r="B26" s="4">
        <v>1953.0</v>
      </c>
      <c r="C26" s="2" t="s">
        <v>12</v>
      </c>
      <c r="D26" s="6">
        <v>807.0</v>
      </c>
      <c r="E26" s="2" t="s">
        <v>77</v>
      </c>
      <c r="F26" s="2" t="s">
        <v>14</v>
      </c>
      <c r="G26" s="2" t="s">
        <v>15</v>
      </c>
      <c r="H26" s="8" t="s">
        <v>39</v>
      </c>
      <c r="I26" s="8" t="s">
        <v>78</v>
      </c>
      <c r="J26" s="10" t="str">
        <f>HYPERLINK("https://rotamaguswines.com/product/lynch-bages-1953-6/","https://rotamaguswines.com/product/lynch-bages-1953-6/")</f>
        <v>https://rotamaguswines.com/product/lynch-bages-1953-6/</v>
      </c>
      <c r="K26" s="8" t="s">
        <v>84</v>
      </c>
    </row>
    <row r="27" spans="1:11">
      <c r="A27" s="3" t="s">
        <v>85</v>
      </c>
      <c r="B27" s="5">
        <v>1928.0</v>
      </c>
      <c r="C27" s="3" t="s">
        <v>12</v>
      </c>
      <c r="D27" s="7">
        <v>3000.0</v>
      </c>
      <c r="E27" s="3" t="s">
        <v>86</v>
      </c>
      <c r="F27" s="3" t="s">
        <v>14</v>
      </c>
      <c r="G27" s="3" t="s">
        <v>15</v>
      </c>
      <c r="H27" s="9" t="s">
        <v>39</v>
      </c>
      <c r="I27" s="9" t="s">
        <v>87</v>
      </c>
      <c r="J27" s="11" t="str">
        <f>HYPERLINK("https://rotamaguswines.com/product/mouton-rothschild-1928/","https://rotamaguswines.com/product/mouton-rothschild-1928/")</f>
        <v>https://rotamaguswines.com/product/mouton-rothschild-1928/</v>
      </c>
      <c r="K27" s="9" t="s">
        <v>88</v>
      </c>
    </row>
    <row r="28" spans="1:11">
      <c r="A28" s="2" t="s">
        <v>89</v>
      </c>
      <c r="B28" s="4">
        <v>1934.0</v>
      </c>
      <c r="C28" s="2" t="s">
        <v>12</v>
      </c>
      <c r="D28" s="6">
        <v>1300.0</v>
      </c>
      <c r="E28" s="2" t="s">
        <v>90</v>
      </c>
      <c r="F28" s="2" t="s">
        <v>14</v>
      </c>
      <c r="G28" s="2" t="s">
        <v>15</v>
      </c>
      <c r="H28" s="8" t="s">
        <v>39</v>
      </c>
      <c r="I28" s="8" t="s">
        <v>87</v>
      </c>
      <c r="J28" s="10" t="str">
        <f>HYPERLINK("https://rotamaguswines.com/product/mouton-rothschild-1934/","https://rotamaguswines.com/product/mouton-rothschild-1934/")</f>
        <v>https://rotamaguswines.com/product/mouton-rothschild-1934/</v>
      </c>
      <c r="K28" s="8" t="s">
        <v>91</v>
      </c>
    </row>
    <row r="29" spans="1:11">
      <c r="A29" s="3" t="s">
        <v>92</v>
      </c>
      <c r="B29" s="5">
        <v>1950.0</v>
      </c>
      <c r="C29" s="3" t="s">
        <v>12</v>
      </c>
      <c r="D29" s="7">
        <v>1500.0</v>
      </c>
      <c r="E29" s="3" t="s">
        <v>93</v>
      </c>
      <c r="F29" s="3" t="s">
        <v>14</v>
      </c>
      <c r="G29" s="3" t="s">
        <v>15</v>
      </c>
      <c r="H29" s="9" t="s">
        <v>39</v>
      </c>
      <c r="I29" s="9" t="s">
        <v>87</v>
      </c>
      <c r="J29" s="11" t="str">
        <f>HYPERLINK("https://rotamaguswines.com/product/mouton-rothschild-1950/","https://rotamaguswines.com/product/mouton-rothschild-1950/")</f>
        <v>https://rotamaguswines.com/product/mouton-rothschild-1950/</v>
      </c>
      <c r="K29" s="9" t="s">
        <v>94</v>
      </c>
    </row>
    <row r="30" spans="1:11">
      <c r="A30" s="2" t="s">
        <v>95</v>
      </c>
      <c r="B30" s="4">
        <v>1952.0</v>
      </c>
      <c r="C30" s="2" t="s">
        <v>12</v>
      </c>
      <c r="D30" s="6">
        <v>737.0</v>
      </c>
      <c r="E30" s="2" t="s">
        <v>96</v>
      </c>
      <c r="F30" s="2" t="s">
        <v>14</v>
      </c>
      <c r="G30" s="2" t="s">
        <v>15</v>
      </c>
      <c r="H30" s="8" t="s">
        <v>39</v>
      </c>
      <c r="I30" s="8" t="s">
        <v>87</v>
      </c>
      <c r="J30" s="10" t="str">
        <f>HYPERLINK("https://rotamaguswines.com/product/mouton-rothschild-1952/","https://rotamaguswines.com/product/mouton-rothschild-1952/")</f>
        <v>https://rotamaguswines.com/product/mouton-rothschild-1952/</v>
      </c>
      <c r="K30" s="8" t="s">
        <v>97</v>
      </c>
    </row>
    <row r="31" spans="1:11">
      <c r="A31" s="3" t="s">
        <v>95</v>
      </c>
      <c r="B31" s="5">
        <v>1952.0</v>
      </c>
      <c r="C31" s="3" t="s">
        <v>12</v>
      </c>
      <c r="D31" s="7">
        <v>1200.0</v>
      </c>
      <c r="E31" s="3" t="s">
        <v>98</v>
      </c>
      <c r="F31" s="3" t="s">
        <v>14</v>
      </c>
      <c r="G31" s="3" t="s">
        <v>15</v>
      </c>
      <c r="H31" s="9" t="s">
        <v>39</v>
      </c>
      <c r="I31" s="9" t="s">
        <v>87</v>
      </c>
      <c r="J31" s="11" t="str">
        <f>HYPERLINK("https://rotamaguswines.com/product/mouton-rothschild-1952-2/","https://rotamaguswines.com/product/mouton-rothschild-1952-2/")</f>
        <v>https://rotamaguswines.com/product/mouton-rothschild-1952-2/</v>
      </c>
      <c r="K31" s="9" t="s">
        <v>99</v>
      </c>
    </row>
    <row r="32" spans="1:11">
      <c r="A32" s="2" t="s">
        <v>100</v>
      </c>
      <c r="B32" s="4">
        <v>1957.0</v>
      </c>
      <c r="C32" s="2" t="s">
        <v>12</v>
      </c>
      <c r="D32" s="6">
        <v>787.0</v>
      </c>
      <c r="E32" s="2" t="s">
        <v>101</v>
      </c>
      <c r="F32" s="2" t="s">
        <v>14</v>
      </c>
      <c r="G32" s="2" t="s">
        <v>15</v>
      </c>
      <c r="H32" s="8" t="s">
        <v>39</v>
      </c>
      <c r="I32" s="8" t="s">
        <v>87</v>
      </c>
      <c r="J32" s="10" t="str">
        <f>HYPERLINK("https://rotamaguswines.com/product/mouton-rothschild-1957/","https://rotamaguswines.com/product/mouton-rothschild-1957/")</f>
        <v>https://rotamaguswines.com/product/mouton-rothschild-1957/</v>
      </c>
      <c r="K32" s="8" t="s">
        <v>102</v>
      </c>
    </row>
    <row r="33" spans="1:11">
      <c r="A33" s="3" t="s">
        <v>100</v>
      </c>
      <c r="B33" s="5">
        <v>1957.0</v>
      </c>
      <c r="C33" s="3" t="s">
        <v>12</v>
      </c>
      <c r="D33" s="7">
        <v>787.0</v>
      </c>
      <c r="E33" s="3" t="s">
        <v>103</v>
      </c>
      <c r="F33" s="3" t="s">
        <v>14</v>
      </c>
      <c r="G33" s="3" t="s">
        <v>15</v>
      </c>
      <c r="H33" s="9" t="s">
        <v>39</v>
      </c>
      <c r="I33" s="9" t="s">
        <v>87</v>
      </c>
      <c r="J33" s="11" t="str">
        <f>HYPERLINK("https://rotamaguswines.com/product/mouton-rothschild-1957-2/","https://rotamaguswines.com/product/mouton-rothschild-1957-2/")</f>
        <v>https://rotamaguswines.com/product/mouton-rothschild-1957-2/</v>
      </c>
      <c r="K33" s="9" t="s">
        <v>104</v>
      </c>
    </row>
    <row r="34" spans="1:11">
      <c r="A34" s="2" t="s">
        <v>100</v>
      </c>
      <c r="B34" s="4">
        <v>1957.0</v>
      </c>
      <c r="C34" s="2" t="s">
        <v>12</v>
      </c>
      <c r="D34" s="6">
        <v>327.0</v>
      </c>
      <c r="E34" s="2" t="s">
        <v>105</v>
      </c>
      <c r="F34" s="2" t="s">
        <v>14</v>
      </c>
      <c r="G34" s="2" t="s">
        <v>15</v>
      </c>
      <c r="H34" s="8" t="s">
        <v>39</v>
      </c>
      <c r="I34" s="8" t="s">
        <v>87</v>
      </c>
      <c r="J34" s="10" t="str">
        <f>HYPERLINK("https://rotamaguswines.com/product/mouton-rothschild-1957-4/","https://rotamaguswines.com/product/mouton-rothschild-1957-4/")</f>
        <v>https://rotamaguswines.com/product/mouton-rothschild-1957-4/</v>
      </c>
      <c r="K34" s="8" t="s">
        <v>106</v>
      </c>
    </row>
    <row r="35" spans="1:11">
      <c r="A35" s="3" t="s">
        <v>107</v>
      </c>
      <c r="B35" s="5">
        <v>1964.0</v>
      </c>
      <c r="C35" s="3" t="s">
        <v>12</v>
      </c>
      <c r="D35" s="7">
        <v>727.0</v>
      </c>
      <c r="E35" s="3" t="s">
        <v>108</v>
      </c>
      <c r="F35" s="3" t="s">
        <v>14</v>
      </c>
      <c r="G35" s="3" t="s">
        <v>15</v>
      </c>
      <c r="H35" s="9" t="s">
        <v>39</v>
      </c>
      <c r="I35" s="9" t="s">
        <v>87</v>
      </c>
      <c r="J35" s="11" t="str">
        <f>HYPERLINK("https://rotamaguswines.com/product/mouton-rothschild-1964/","https://rotamaguswines.com/product/mouton-rothschild-1964/")</f>
        <v>https://rotamaguswines.com/product/mouton-rothschild-1964/</v>
      </c>
      <c r="K35" s="9" t="s">
        <v>109</v>
      </c>
    </row>
    <row r="36" spans="1:11">
      <c r="A36" s="2" t="s">
        <v>107</v>
      </c>
      <c r="B36" s="4">
        <v>1964.0</v>
      </c>
      <c r="C36" s="2" t="s">
        <v>12</v>
      </c>
      <c r="D36" s="6">
        <v>727.0</v>
      </c>
      <c r="E36" s="2" t="s">
        <v>110</v>
      </c>
      <c r="F36" s="2" t="s">
        <v>14</v>
      </c>
      <c r="G36" s="2" t="s">
        <v>15</v>
      </c>
      <c r="H36" s="8" t="s">
        <v>39</v>
      </c>
      <c r="I36" s="8" t="s">
        <v>87</v>
      </c>
      <c r="J36" s="10" t="str">
        <f>HYPERLINK("https://rotamaguswines.com/product/mouton-rothschild-1964-2/","https://rotamaguswines.com/product/mouton-rothschild-1964-2/")</f>
        <v>https://rotamaguswines.com/product/mouton-rothschild-1964-2/</v>
      </c>
      <c r="K36" s="8" t="s">
        <v>111</v>
      </c>
    </row>
    <row r="37" spans="1:11">
      <c r="A37" s="3" t="s">
        <v>107</v>
      </c>
      <c r="B37" s="5">
        <v>1964.0</v>
      </c>
      <c r="C37" s="3" t="s">
        <v>12</v>
      </c>
      <c r="D37" s="7">
        <v>327.0</v>
      </c>
      <c r="E37" s="3" t="s">
        <v>112</v>
      </c>
      <c r="F37" s="3" t="s">
        <v>14</v>
      </c>
      <c r="G37" s="3" t="s">
        <v>15</v>
      </c>
      <c r="H37" s="9" t="s">
        <v>39</v>
      </c>
      <c r="I37" s="9" t="s">
        <v>87</v>
      </c>
      <c r="J37" s="11" t="str">
        <f>HYPERLINK("https://rotamaguswines.com/product/mouton-rothschild-1964-3/","https://rotamaguswines.com/product/mouton-rothschild-1964-3/")</f>
        <v>https://rotamaguswines.com/product/mouton-rothschild-1964-3/</v>
      </c>
      <c r="K37" s="9" t="s">
        <v>113</v>
      </c>
    </row>
    <row r="38" spans="1:11">
      <c r="A38" s="2" t="s">
        <v>107</v>
      </c>
      <c r="B38" s="4">
        <v>1964.0</v>
      </c>
      <c r="C38" s="2" t="s">
        <v>12</v>
      </c>
      <c r="D38" s="6">
        <v>727.0</v>
      </c>
      <c r="E38" s="2" t="s">
        <v>114</v>
      </c>
      <c r="F38" s="2" t="s">
        <v>14</v>
      </c>
      <c r="G38" s="2" t="s">
        <v>15</v>
      </c>
      <c r="H38" s="8" t="s">
        <v>39</v>
      </c>
      <c r="I38" s="8" t="s">
        <v>87</v>
      </c>
      <c r="J38" s="10" t="str">
        <f>HYPERLINK("https://rotamaguswines.com/product/mouton-rothschild-1964-4/","https://rotamaguswines.com/product/mouton-rothschild-1964-4/")</f>
        <v>https://rotamaguswines.com/product/mouton-rothschild-1964-4/</v>
      </c>
      <c r="K38" s="8" t="s">
        <v>115</v>
      </c>
    </row>
    <row r="39" spans="1:11">
      <c r="A39" s="3" t="s">
        <v>107</v>
      </c>
      <c r="B39" s="5">
        <v>1964.0</v>
      </c>
      <c r="C39" s="3" t="s">
        <v>12</v>
      </c>
      <c r="D39" s="7">
        <v>727.0</v>
      </c>
      <c r="E39" s="3" t="s">
        <v>116</v>
      </c>
      <c r="F39" s="3" t="s">
        <v>14</v>
      </c>
      <c r="G39" s="3" t="s">
        <v>15</v>
      </c>
      <c r="H39" s="9" t="s">
        <v>39</v>
      </c>
      <c r="I39" s="9" t="s">
        <v>87</v>
      </c>
      <c r="J39" s="11" t="str">
        <f>HYPERLINK("https://rotamaguswines.com/product/mouton-rothschild-1964-5/","https://rotamaguswines.com/product/mouton-rothschild-1964-5/")</f>
        <v>https://rotamaguswines.com/product/mouton-rothschild-1964-5/</v>
      </c>
      <c r="K39" s="9" t="s">
        <v>117</v>
      </c>
    </row>
    <row r="40" spans="1:11">
      <c r="A40" s="2" t="s">
        <v>107</v>
      </c>
      <c r="B40" s="4">
        <v>1964.0</v>
      </c>
      <c r="C40" s="2" t="s">
        <v>12</v>
      </c>
      <c r="D40" s="6">
        <v>677.0</v>
      </c>
      <c r="E40" s="2" t="s">
        <v>118</v>
      </c>
      <c r="F40" s="2" t="s">
        <v>14</v>
      </c>
      <c r="G40" s="2" t="s">
        <v>15</v>
      </c>
      <c r="H40" s="8" t="s">
        <v>39</v>
      </c>
      <c r="I40" s="8" t="s">
        <v>87</v>
      </c>
      <c r="J40" s="10" t="str">
        <f>HYPERLINK("https://rotamaguswines.com/product/mouton-rothschild-1964-6/","https://rotamaguswines.com/product/mouton-rothschild-1964-6/")</f>
        <v>https://rotamaguswines.com/product/mouton-rothschild-1964-6/</v>
      </c>
      <c r="K40" s="8" t="s">
        <v>119</v>
      </c>
    </row>
    <row r="41" spans="1:11">
      <c r="A41" s="3" t="s">
        <v>120</v>
      </c>
      <c r="B41" s="5">
        <v>1965.0</v>
      </c>
      <c r="C41" s="3" t="s">
        <v>12</v>
      </c>
      <c r="D41" s="7">
        <v>477.0</v>
      </c>
      <c r="E41" s="3" t="s">
        <v>121</v>
      </c>
      <c r="F41" s="3" t="s">
        <v>14</v>
      </c>
      <c r="G41" s="3" t="s">
        <v>15</v>
      </c>
      <c r="H41" s="9" t="s">
        <v>39</v>
      </c>
      <c r="I41" s="9" t="s">
        <v>87</v>
      </c>
      <c r="J41" s="11" t="str">
        <f>HYPERLINK("https://rotamaguswines.com/product/mouton-rothschild-1965/","https://rotamaguswines.com/product/mouton-rothschild-1965/")</f>
        <v>https://rotamaguswines.com/product/mouton-rothschild-1965/</v>
      </c>
      <c r="K41" s="9" t="s">
        <v>122</v>
      </c>
    </row>
    <row r="42" spans="1:11">
      <c r="A42" s="2" t="s">
        <v>120</v>
      </c>
      <c r="B42" s="4">
        <v>1965.0</v>
      </c>
      <c r="C42" s="2" t="s">
        <v>12</v>
      </c>
      <c r="D42" s="6">
        <v>757.0</v>
      </c>
      <c r="E42" s="2" t="s">
        <v>123</v>
      </c>
      <c r="F42" s="2" t="s">
        <v>14</v>
      </c>
      <c r="G42" s="2" t="s">
        <v>15</v>
      </c>
      <c r="H42" s="8" t="s">
        <v>39</v>
      </c>
      <c r="I42" s="8" t="s">
        <v>87</v>
      </c>
      <c r="J42" s="10" t="str">
        <f>HYPERLINK("https://rotamaguswines.com/product/mouton-rothschild-1965-2/","https://rotamaguswines.com/product/mouton-rothschild-1965-2/")</f>
        <v>https://rotamaguswines.com/product/mouton-rothschild-1965-2/</v>
      </c>
      <c r="K42" s="8" t="s">
        <v>124</v>
      </c>
    </row>
    <row r="43" spans="1:11">
      <c r="A43" s="3" t="s">
        <v>120</v>
      </c>
      <c r="B43" s="5">
        <v>1965.0</v>
      </c>
      <c r="C43" s="3" t="s">
        <v>12</v>
      </c>
      <c r="D43" s="7">
        <v>897.0</v>
      </c>
      <c r="E43" s="3" t="s">
        <v>125</v>
      </c>
      <c r="F43" s="3" t="s">
        <v>14</v>
      </c>
      <c r="G43" s="3" t="s">
        <v>15</v>
      </c>
      <c r="H43" s="9" t="s">
        <v>39</v>
      </c>
      <c r="I43" s="9" t="s">
        <v>87</v>
      </c>
      <c r="J43" s="11" t="str">
        <f>HYPERLINK("https://rotamaguswines.com/product/mouton-rothschild-1965-3/","https://rotamaguswines.com/product/mouton-rothschild-1965-3/")</f>
        <v>https://rotamaguswines.com/product/mouton-rothschild-1965-3/</v>
      </c>
      <c r="K43" s="9" t="s">
        <v>126</v>
      </c>
    </row>
    <row r="44" spans="1:11">
      <c r="A44" s="2" t="s">
        <v>120</v>
      </c>
      <c r="B44" s="4">
        <v>1965.0</v>
      </c>
      <c r="C44" s="2" t="s">
        <v>12</v>
      </c>
      <c r="D44" s="6">
        <v>897.0</v>
      </c>
      <c r="E44" s="2" t="s">
        <v>127</v>
      </c>
      <c r="F44" s="2" t="s">
        <v>14</v>
      </c>
      <c r="G44" s="2" t="s">
        <v>15</v>
      </c>
      <c r="H44" s="8" t="s">
        <v>39</v>
      </c>
      <c r="I44" s="8" t="s">
        <v>87</v>
      </c>
      <c r="J44" s="10" t="str">
        <f>HYPERLINK("https://rotamaguswines.com/product/mouton-rothschild-1965-4/","https://rotamaguswines.com/product/mouton-rothschild-1965-4/")</f>
        <v>https://rotamaguswines.com/product/mouton-rothschild-1965-4/</v>
      </c>
      <c r="K44" s="8" t="s">
        <v>128</v>
      </c>
    </row>
    <row r="45" spans="1:11">
      <c r="A45" s="3" t="s">
        <v>120</v>
      </c>
      <c r="B45" s="5">
        <v>1965.0</v>
      </c>
      <c r="C45" s="3" t="s">
        <v>12</v>
      </c>
      <c r="D45" s="7">
        <v>327.0</v>
      </c>
      <c r="E45" s="3" t="s">
        <v>129</v>
      </c>
      <c r="F45" s="3" t="s">
        <v>14</v>
      </c>
      <c r="G45" s="3" t="s">
        <v>15</v>
      </c>
      <c r="H45" s="9" t="s">
        <v>39</v>
      </c>
      <c r="I45" s="9" t="s">
        <v>87</v>
      </c>
      <c r="J45" s="11" t="str">
        <f>HYPERLINK("https://rotamaguswines.com/product/mouton-rothschild-1965-5/","https://rotamaguswines.com/product/mouton-rothschild-1965-5/")</f>
        <v>https://rotamaguswines.com/product/mouton-rothschild-1965-5/</v>
      </c>
      <c r="K45" s="9" t="s">
        <v>130</v>
      </c>
    </row>
    <row r="46" spans="1:11">
      <c r="A46" s="2" t="s">
        <v>131</v>
      </c>
      <c r="B46" s="4">
        <v>1966.0</v>
      </c>
      <c r="C46" s="2" t="s">
        <v>132</v>
      </c>
      <c r="D46" s="6">
        <v>1260.0</v>
      </c>
      <c r="E46" s="2" t="s">
        <v>133</v>
      </c>
      <c r="F46" s="2" t="s">
        <v>14</v>
      </c>
      <c r="G46" s="2" t="s">
        <v>15</v>
      </c>
      <c r="H46" s="8" t="s">
        <v>39</v>
      </c>
      <c r="I46" s="8" t="s">
        <v>87</v>
      </c>
      <c r="J46" s="10" t="str">
        <f>HYPERLINK("https://rotamaguswines.com/product/mouton-rothschild-1966-magnum/","https://rotamaguswines.com/product/mouton-rothschild-1966-magnum/")</f>
        <v>https://rotamaguswines.com/product/mouton-rothschild-1966-magnum/</v>
      </c>
      <c r="K46" s="8" t="s">
        <v>134</v>
      </c>
    </row>
    <row r="47" spans="1:11">
      <c r="A47" s="3" t="s">
        <v>135</v>
      </c>
      <c r="B47" s="5">
        <v>1967.0</v>
      </c>
      <c r="C47" s="3" t="s">
        <v>12</v>
      </c>
      <c r="D47" s="7">
        <v>477.0</v>
      </c>
      <c r="E47" s="3" t="s">
        <v>136</v>
      </c>
      <c r="F47" s="3" t="s">
        <v>14</v>
      </c>
      <c r="G47" s="3" t="s">
        <v>15</v>
      </c>
      <c r="H47" s="9" t="s">
        <v>39</v>
      </c>
      <c r="I47" s="9" t="s">
        <v>87</v>
      </c>
      <c r="J47" s="11" t="str">
        <f>HYPERLINK("https://rotamaguswines.com/product/mouton-rothschild-1967-3/","https://rotamaguswines.com/product/mouton-rothschild-1967-3/")</f>
        <v>https://rotamaguswines.com/product/mouton-rothschild-1967-3/</v>
      </c>
      <c r="K47" s="9" t="s">
        <v>137</v>
      </c>
    </row>
    <row r="48" spans="1:11">
      <c r="A48" s="2" t="s">
        <v>135</v>
      </c>
      <c r="B48" s="4">
        <v>1967.0</v>
      </c>
      <c r="C48" s="2" t="s">
        <v>12</v>
      </c>
      <c r="D48" s="6">
        <v>477.0</v>
      </c>
      <c r="E48" s="2" t="s">
        <v>138</v>
      </c>
      <c r="F48" s="2" t="s">
        <v>14</v>
      </c>
      <c r="G48" s="2" t="s">
        <v>15</v>
      </c>
      <c r="H48" s="8" t="s">
        <v>39</v>
      </c>
      <c r="I48" s="8" t="s">
        <v>87</v>
      </c>
      <c r="J48" s="10" t="str">
        <f>HYPERLINK("https://rotamaguswines.com/product/mouton-rothschild-1967-2/","https://rotamaguswines.com/product/mouton-rothschild-1967-2/")</f>
        <v>https://rotamaguswines.com/product/mouton-rothschild-1967-2/</v>
      </c>
      <c r="K48" s="8" t="s">
        <v>139</v>
      </c>
    </row>
    <row r="49" spans="1:11">
      <c r="A49" s="3" t="s">
        <v>140</v>
      </c>
      <c r="B49" s="5">
        <v>1967.0</v>
      </c>
      <c r="C49" s="3" t="s">
        <v>132</v>
      </c>
      <c r="D49" s="7">
        <v>1300.0</v>
      </c>
      <c r="E49" s="3" t="s">
        <v>141</v>
      </c>
      <c r="F49" s="3" t="s">
        <v>14</v>
      </c>
      <c r="G49" s="3" t="s">
        <v>15</v>
      </c>
      <c r="H49" s="9" t="s">
        <v>39</v>
      </c>
      <c r="I49" s="9" t="s">
        <v>87</v>
      </c>
      <c r="J49" s="11" t="str">
        <f>HYPERLINK("https://rotamaguswines.com/product/mouton-rothschild-1967-magnum/","https://rotamaguswines.com/product/mouton-rothschild-1967-magnum/")</f>
        <v>https://rotamaguswines.com/product/mouton-rothschild-1967-magnum/</v>
      </c>
      <c r="K49" s="9" t="s">
        <v>142</v>
      </c>
    </row>
    <row r="50" spans="1:11">
      <c r="A50" s="2" t="s">
        <v>143</v>
      </c>
      <c r="B50" s="4">
        <v>1968.0</v>
      </c>
      <c r="C50" s="2" t="s">
        <v>12</v>
      </c>
      <c r="D50" s="6">
        <v>667.0</v>
      </c>
      <c r="E50" s="2" t="s">
        <v>144</v>
      </c>
      <c r="F50" s="2" t="s">
        <v>14</v>
      </c>
      <c r="G50" s="2" t="s">
        <v>15</v>
      </c>
      <c r="H50" s="8" t="s">
        <v>39</v>
      </c>
      <c r="I50" s="8" t="s">
        <v>87</v>
      </c>
      <c r="J50" s="10" t="str">
        <f>HYPERLINK("https://rotamaguswines.com/product/mouton-rothschild-1968/","https://rotamaguswines.com/product/mouton-rothschild-1968/")</f>
        <v>https://rotamaguswines.com/product/mouton-rothschild-1968/</v>
      </c>
      <c r="K50" s="8" t="s">
        <v>145</v>
      </c>
    </row>
    <row r="51" spans="1:11">
      <c r="A51" s="3" t="s">
        <v>143</v>
      </c>
      <c r="B51" s="5">
        <v>1968.0</v>
      </c>
      <c r="C51" s="3" t="s">
        <v>12</v>
      </c>
      <c r="D51" s="7">
        <v>667.0</v>
      </c>
      <c r="E51" s="3" t="s">
        <v>146</v>
      </c>
      <c r="F51" s="3" t="s">
        <v>14</v>
      </c>
      <c r="G51" s="3" t="s">
        <v>15</v>
      </c>
      <c r="H51" s="9" t="s">
        <v>39</v>
      </c>
      <c r="I51" s="9" t="s">
        <v>87</v>
      </c>
      <c r="J51" s="11" t="str">
        <f>HYPERLINK("https://rotamaguswines.com/product/mouton-rothschild-1968-2/","https://rotamaguswines.com/product/mouton-rothschild-1968-2/")</f>
        <v>https://rotamaguswines.com/product/mouton-rothschild-1968-2/</v>
      </c>
      <c r="K51" s="9" t="s">
        <v>147</v>
      </c>
    </row>
    <row r="52" spans="1:11">
      <c r="A52" s="2" t="s">
        <v>148</v>
      </c>
      <c r="B52" s="4">
        <v>1969.0</v>
      </c>
      <c r="C52" s="2" t="s">
        <v>12</v>
      </c>
      <c r="D52" s="6">
        <v>717.0</v>
      </c>
      <c r="E52" s="2" t="s">
        <v>149</v>
      </c>
      <c r="F52" s="2" t="s">
        <v>14</v>
      </c>
      <c r="G52" s="2" t="s">
        <v>15</v>
      </c>
      <c r="H52" s="8" t="s">
        <v>39</v>
      </c>
      <c r="I52" s="8" t="s">
        <v>87</v>
      </c>
      <c r="J52" s="10" t="str">
        <f>HYPERLINK("https://rotamaguswines.com/product/mouton-rothschild-1969/","https://rotamaguswines.com/product/mouton-rothschild-1969/")</f>
        <v>https://rotamaguswines.com/product/mouton-rothschild-1969/</v>
      </c>
      <c r="K52" s="8" t="s">
        <v>150</v>
      </c>
    </row>
    <row r="53" spans="1:11">
      <c r="A53" s="3" t="s">
        <v>148</v>
      </c>
      <c r="B53" s="5">
        <v>1969.0</v>
      </c>
      <c r="C53" s="3" t="s">
        <v>12</v>
      </c>
      <c r="D53" s="7">
        <v>717.0</v>
      </c>
      <c r="E53" s="3" t="s">
        <v>151</v>
      </c>
      <c r="F53" s="3" t="s">
        <v>14</v>
      </c>
      <c r="G53" s="3" t="s">
        <v>15</v>
      </c>
      <c r="H53" s="9" t="s">
        <v>39</v>
      </c>
      <c r="I53" s="9" t="s">
        <v>87</v>
      </c>
      <c r="J53" s="11" t="str">
        <f>HYPERLINK("https://rotamaguswines.com/product/mouton-rothschild-1969-2/","https://rotamaguswines.com/product/mouton-rothschild-1969-2/")</f>
        <v>https://rotamaguswines.com/product/mouton-rothschild-1969-2/</v>
      </c>
      <c r="K53" s="9" t="s">
        <v>152</v>
      </c>
    </row>
    <row r="54" spans="1:11">
      <c r="A54" s="2" t="s">
        <v>153</v>
      </c>
      <c r="B54" s="4">
        <v>1969.0</v>
      </c>
      <c r="C54" s="2" t="s">
        <v>132</v>
      </c>
      <c r="D54" s="6">
        <v>1280.0</v>
      </c>
      <c r="E54" s="2" t="s">
        <v>154</v>
      </c>
      <c r="F54" s="2" t="s">
        <v>14</v>
      </c>
      <c r="G54" s="2" t="s">
        <v>15</v>
      </c>
      <c r="H54" s="8" t="s">
        <v>39</v>
      </c>
      <c r="I54" s="8" t="s">
        <v>87</v>
      </c>
      <c r="J54" s="10" t="str">
        <f>HYPERLINK("https://rotamaguswines.com/product/mouton-rothschild-1969-magnum/","https://rotamaguswines.com/product/mouton-rothschild-1969-magnum/")</f>
        <v>https://rotamaguswines.com/product/mouton-rothschild-1969-magnum/</v>
      </c>
      <c r="K54" s="8" t="s">
        <v>155</v>
      </c>
    </row>
    <row r="55" spans="1:11">
      <c r="A55" s="3" t="s">
        <v>156</v>
      </c>
      <c r="B55" s="5">
        <v>1970.0</v>
      </c>
      <c r="C55" s="3" t="s">
        <v>12</v>
      </c>
      <c r="D55" s="7">
        <v>517.0</v>
      </c>
      <c r="E55" s="3" t="s">
        <v>157</v>
      </c>
      <c r="F55" s="3" t="s">
        <v>14</v>
      </c>
      <c r="G55" s="3" t="s">
        <v>15</v>
      </c>
      <c r="H55" s="9" t="s">
        <v>39</v>
      </c>
      <c r="I55" s="9" t="s">
        <v>87</v>
      </c>
      <c r="J55" s="11" t="str">
        <f>HYPERLINK("https://rotamaguswines.com/product/mouton-rothschild-1970/","https://rotamaguswines.com/product/mouton-rothschild-1970/")</f>
        <v>https://rotamaguswines.com/product/mouton-rothschild-1970/</v>
      </c>
      <c r="K55" s="9" t="s">
        <v>158</v>
      </c>
    </row>
    <row r="56" spans="1:11">
      <c r="A56" s="2" t="s">
        <v>159</v>
      </c>
      <c r="B56" s="4">
        <v>1971.0</v>
      </c>
      <c r="C56" s="2" t="s">
        <v>12</v>
      </c>
      <c r="D56" s="6">
        <v>497.0</v>
      </c>
      <c r="E56" s="2" t="s">
        <v>160</v>
      </c>
      <c r="F56" s="2" t="s">
        <v>14</v>
      </c>
      <c r="G56" s="2" t="s">
        <v>15</v>
      </c>
      <c r="H56" s="8" t="s">
        <v>39</v>
      </c>
      <c r="I56" s="8" t="s">
        <v>87</v>
      </c>
      <c r="J56" s="10" t="str">
        <f>HYPERLINK("https://rotamaguswines.com/product/mouton-rothschild-1971-2/","https://rotamaguswines.com/product/mouton-rothschild-1971-2/")</f>
        <v>https://rotamaguswines.com/product/mouton-rothschild-1971-2/</v>
      </c>
      <c r="K56" s="8" t="s">
        <v>161</v>
      </c>
    </row>
    <row r="57" spans="1:11">
      <c r="A57" s="3" t="s">
        <v>159</v>
      </c>
      <c r="B57" s="5">
        <v>1971.0</v>
      </c>
      <c r="C57" s="3" t="s">
        <v>12</v>
      </c>
      <c r="D57" s="7">
        <v>497.0</v>
      </c>
      <c r="E57" s="3" t="s">
        <v>162</v>
      </c>
      <c r="F57" s="3" t="s">
        <v>14</v>
      </c>
      <c r="G57" s="3" t="s">
        <v>15</v>
      </c>
      <c r="H57" s="9" t="s">
        <v>39</v>
      </c>
      <c r="I57" s="9" t="s">
        <v>87</v>
      </c>
      <c r="J57" s="11" t="str">
        <f>HYPERLINK("https://rotamaguswines.com/product/mouton-rothschild-1971/","https://rotamaguswines.com/product/mouton-rothschild-1971/")</f>
        <v>https://rotamaguswines.com/product/mouton-rothschild-1971/</v>
      </c>
      <c r="K57" s="9" t="s">
        <v>163</v>
      </c>
    </row>
    <row r="58" spans="1:11">
      <c r="A58" s="2" t="s">
        <v>164</v>
      </c>
      <c r="B58" s="4">
        <v>1972.0</v>
      </c>
      <c r="C58" s="2" t="s">
        <v>12</v>
      </c>
      <c r="D58" s="6">
        <v>557.0</v>
      </c>
      <c r="E58" s="2" t="s">
        <v>165</v>
      </c>
      <c r="F58" s="2" t="s">
        <v>14</v>
      </c>
      <c r="G58" s="2" t="s">
        <v>15</v>
      </c>
      <c r="H58" s="8" t="s">
        <v>39</v>
      </c>
      <c r="I58" s="8" t="s">
        <v>87</v>
      </c>
      <c r="J58" s="10" t="str">
        <f>HYPERLINK("https://rotamaguswines.com/product/mouton-rothschild-1972/","https://rotamaguswines.com/product/mouton-rothschild-1972/")</f>
        <v>https://rotamaguswines.com/product/mouton-rothschild-1972/</v>
      </c>
      <c r="K58" s="8" t="s">
        <v>166</v>
      </c>
    </row>
    <row r="59" spans="1:11">
      <c r="A59" s="3" t="s">
        <v>164</v>
      </c>
      <c r="B59" s="5">
        <v>1972.0</v>
      </c>
      <c r="C59" s="3" t="s">
        <v>12</v>
      </c>
      <c r="D59" s="7">
        <v>557.0</v>
      </c>
      <c r="E59" s="3" t="s">
        <v>165</v>
      </c>
      <c r="F59" s="3" t="s">
        <v>14</v>
      </c>
      <c r="G59" s="3" t="s">
        <v>15</v>
      </c>
      <c r="H59" s="9" t="s">
        <v>39</v>
      </c>
      <c r="I59" s="9" t="s">
        <v>87</v>
      </c>
      <c r="J59" s="11" t="str">
        <f>HYPERLINK("https://rotamaguswines.com/product/mouton-rothschild-1972-2/","https://rotamaguswines.com/product/mouton-rothschild-1972-2/")</f>
        <v>https://rotamaguswines.com/product/mouton-rothschild-1972-2/</v>
      </c>
      <c r="K59" s="9" t="s">
        <v>167</v>
      </c>
    </row>
    <row r="60" spans="1:11">
      <c r="A60" s="2" t="s">
        <v>164</v>
      </c>
      <c r="B60" s="4">
        <v>1972.0</v>
      </c>
      <c r="C60" s="2" t="s">
        <v>12</v>
      </c>
      <c r="D60" s="6">
        <v>557.0</v>
      </c>
      <c r="E60" s="2" t="s">
        <v>168</v>
      </c>
      <c r="F60" s="2" t="s">
        <v>14</v>
      </c>
      <c r="G60" s="2" t="s">
        <v>15</v>
      </c>
      <c r="H60" s="8" t="s">
        <v>39</v>
      </c>
      <c r="I60" s="8" t="s">
        <v>87</v>
      </c>
      <c r="J60" s="10" t="str">
        <f>HYPERLINK("https://rotamaguswines.com/product/mouton-rothschild-1972-3/","https://rotamaguswines.com/product/mouton-rothschild-1972-3/")</f>
        <v>https://rotamaguswines.com/product/mouton-rothschild-1972-3/</v>
      </c>
      <c r="K60" s="8" t="s">
        <v>169</v>
      </c>
    </row>
    <row r="61" spans="1:11">
      <c r="A61" s="3" t="s">
        <v>170</v>
      </c>
      <c r="B61" s="5">
        <v>1973.0</v>
      </c>
      <c r="C61" s="3" t="s">
        <v>12</v>
      </c>
      <c r="D61" s="7">
        <v>507.0</v>
      </c>
      <c r="E61" s="3" t="s">
        <v>171</v>
      </c>
      <c r="F61" s="3" t="s">
        <v>14</v>
      </c>
      <c r="G61" s="3" t="s">
        <v>15</v>
      </c>
      <c r="H61" s="9" t="s">
        <v>39</v>
      </c>
      <c r="I61" s="9" t="s">
        <v>87</v>
      </c>
      <c r="J61" s="11" t="str">
        <f>HYPERLINK("https://rotamaguswines.com/product/mouton-rothschild-1973/","https://rotamaguswines.com/product/mouton-rothschild-1973/")</f>
        <v>https://rotamaguswines.com/product/mouton-rothschild-1973/</v>
      </c>
      <c r="K61" s="9" t="s">
        <v>172</v>
      </c>
    </row>
    <row r="62" spans="1:11">
      <c r="A62" s="2" t="s">
        <v>173</v>
      </c>
      <c r="B62" s="4">
        <v>1978.0</v>
      </c>
      <c r="C62" s="2" t="s">
        <v>12</v>
      </c>
      <c r="D62" s="6">
        <v>477.0</v>
      </c>
      <c r="E62" s="2" t="s">
        <v>174</v>
      </c>
      <c r="F62" s="2" t="s">
        <v>14</v>
      </c>
      <c r="G62" s="2" t="s">
        <v>15</v>
      </c>
      <c r="H62" s="8" t="s">
        <v>39</v>
      </c>
      <c r="I62" s="8" t="s">
        <v>87</v>
      </c>
      <c r="J62" s="10" t="str">
        <f>HYPERLINK("https://rotamaguswines.com/product/mouton-rothschild-1978/","https://rotamaguswines.com/product/mouton-rothschild-1978/")</f>
        <v>https://rotamaguswines.com/product/mouton-rothschild-1978/</v>
      </c>
      <c r="K62" s="8" t="s">
        <v>175</v>
      </c>
    </row>
    <row r="63" spans="1:11">
      <c r="A63" s="3" t="s">
        <v>176</v>
      </c>
      <c r="B63" s="5">
        <v>1978.0</v>
      </c>
      <c r="C63" s="3" t="s">
        <v>12</v>
      </c>
      <c r="D63" s="7">
        <v>477.0</v>
      </c>
      <c r="E63" s="3" t="s">
        <v>177</v>
      </c>
      <c r="F63" s="3" t="s">
        <v>14</v>
      </c>
      <c r="G63" s="3" t="s">
        <v>15</v>
      </c>
      <c r="H63" s="9" t="s">
        <v>39</v>
      </c>
      <c r="I63" s="9" t="s">
        <v>87</v>
      </c>
      <c r="J63" s="11" t="str">
        <f>HYPERLINK("https://rotamaguswines.com/product/mouton-rothschild-1978-sc/","https://rotamaguswines.com/product/mouton-rothschild-1978-sc/")</f>
        <v>https://rotamaguswines.com/product/mouton-rothschild-1978-sc/</v>
      </c>
      <c r="K63" s="9" t="s">
        <v>178</v>
      </c>
    </row>
    <row r="64" spans="1:11">
      <c r="A64" s="2" t="s">
        <v>176</v>
      </c>
      <c r="B64" s="4">
        <v>1978.0</v>
      </c>
      <c r="C64" s="2" t="s">
        <v>12</v>
      </c>
      <c r="D64" s="6">
        <v>477.0</v>
      </c>
      <c r="E64" s="2" t="s">
        <v>177</v>
      </c>
      <c r="F64" s="2" t="s">
        <v>14</v>
      </c>
      <c r="G64" s="2" t="s">
        <v>15</v>
      </c>
      <c r="H64" s="8" t="s">
        <v>39</v>
      </c>
      <c r="I64" s="8" t="s">
        <v>87</v>
      </c>
      <c r="J64" s="10" t="str">
        <f>HYPERLINK("https://rotamaguswines.com/product/mouton-rothschild-1978-sc-2/","https://rotamaguswines.com/product/mouton-rothschild-1978-sc-2/")</f>
        <v>https://rotamaguswines.com/product/mouton-rothschild-1978-sc-2/</v>
      </c>
      <c r="K64" s="8" t="s">
        <v>179</v>
      </c>
    </row>
    <row r="65" spans="1:11">
      <c r="A65" s="3" t="s">
        <v>176</v>
      </c>
      <c r="B65" s="5">
        <v>1978.0</v>
      </c>
      <c r="C65" s="3" t="s">
        <v>12</v>
      </c>
      <c r="D65" s="7">
        <v>477.0</v>
      </c>
      <c r="E65" s="3" t="s">
        <v>177</v>
      </c>
      <c r="F65" s="3" t="s">
        <v>14</v>
      </c>
      <c r="G65" s="3" t="s">
        <v>15</v>
      </c>
      <c r="H65" s="9" t="s">
        <v>39</v>
      </c>
      <c r="I65" s="9" t="s">
        <v>87</v>
      </c>
      <c r="J65" s="11" t="str">
        <f>HYPERLINK("https://rotamaguswines.com/product/mouton-rothschild-1978-sc-3/","https://rotamaguswines.com/product/mouton-rothschild-1978-sc-3/")</f>
        <v>https://rotamaguswines.com/product/mouton-rothschild-1978-sc-3/</v>
      </c>
      <c r="K65" s="9" t="s">
        <v>180</v>
      </c>
    </row>
    <row r="66" spans="1:11">
      <c r="A66" s="2" t="s">
        <v>176</v>
      </c>
      <c r="B66" s="4">
        <v>1978.0</v>
      </c>
      <c r="C66" s="2" t="s">
        <v>12</v>
      </c>
      <c r="D66" s="6">
        <v>477.0</v>
      </c>
      <c r="E66" s="2" t="s">
        <v>174</v>
      </c>
      <c r="F66" s="2" t="s">
        <v>14</v>
      </c>
      <c r="G66" s="2" t="s">
        <v>15</v>
      </c>
      <c r="H66" s="8" t="s">
        <v>39</v>
      </c>
      <c r="I66" s="8" t="s">
        <v>87</v>
      </c>
      <c r="J66" s="10" t="str">
        <f>HYPERLINK("https://rotamaguswines.com/product/mouton-rothschild-1978-sc-9/","https://rotamaguswines.com/product/mouton-rothschild-1978-sc-9/")</f>
        <v>https://rotamaguswines.com/product/mouton-rothschild-1978-sc-9/</v>
      </c>
      <c r="K66" s="8" t="s">
        <v>181</v>
      </c>
    </row>
    <row r="67" spans="1:11">
      <c r="A67" s="3" t="s">
        <v>176</v>
      </c>
      <c r="B67" s="5">
        <v>1978.0</v>
      </c>
      <c r="C67" s="3" t="s">
        <v>12</v>
      </c>
      <c r="D67" s="7">
        <v>477.0</v>
      </c>
      <c r="E67" s="3" t="s">
        <v>177</v>
      </c>
      <c r="F67" s="3" t="s">
        <v>14</v>
      </c>
      <c r="G67" s="3" t="s">
        <v>15</v>
      </c>
      <c r="H67" s="9" t="s">
        <v>39</v>
      </c>
      <c r="I67" s="9" t="s">
        <v>87</v>
      </c>
      <c r="J67" s="11" t="str">
        <f>HYPERLINK("https://rotamaguswines.com/product/mouton-rothschild-1978-sc-4/","https://rotamaguswines.com/product/mouton-rothschild-1978-sc-4/")</f>
        <v>https://rotamaguswines.com/product/mouton-rothschild-1978-sc-4/</v>
      </c>
      <c r="K67" s="9" t="s">
        <v>182</v>
      </c>
    </row>
    <row r="68" spans="1:11">
      <c r="A68" s="2" t="s">
        <v>176</v>
      </c>
      <c r="B68" s="4">
        <v>1978.0</v>
      </c>
      <c r="C68" s="2" t="s">
        <v>12</v>
      </c>
      <c r="D68" s="6">
        <v>477.0</v>
      </c>
      <c r="E68" s="2" t="s">
        <v>177</v>
      </c>
      <c r="F68" s="2" t="s">
        <v>14</v>
      </c>
      <c r="G68" s="2" t="s">
        <v>15</v>
      </c>
      <c r="H68" s="8" t="s">
        <v>39</v>
      </c>
      <c r="I68" s="8" t="s">
        <v>87</v>
      </c>
      <c r="J68" s="10" t="str">
        <f>HYPERLINK("https://rotamaguswines.com/product/mouton-rothschild-1978-sc-5/","https://rotamaguswines.com/product/mouton-rothschild-1978-sc-5/")</f>
        <v>https://rotamaguswines.com/product/mouton-rothschild-1978-sc-5/</v>
      </c>
      <c r="K68" s="8" t="s">
        <v>183</v>
      </c>
    </row>
    <row r="69" spans="1:11">
      <c r="A69" s="3" t="s">
        <v>176</v>
      </c>
      <c r="B69" s="5">
        <v>1978.0</v>
      </c>
      <c r="C69" s="3" t="s">
        <v>12</v>
      </c>
      <c r="D69" s="7">
        <v>477.0</v>
      </c>
      <c r="E69" s="3" t="s">
        <v>177</v>
      </c>
      <c r="F69" s="3" t="s">
        <v>14</v>
      </c>
      <c r="G69" s="3" t="s">
        <v>15</v>
      </c>
      <c r="H69" s="9" t="s">
        <v>39</v>
      </c>
      <c r="I69" s="9" t="s">
        <v>87</v>
      </c>
      <c r="J69" s="11" t="str">
        <f>HYPERLINK("https://rotamaguswines.com/product/mouton-rothschild-1978-sc-6/","https://rotamaguswines.com/product/mouton-rothschild-1978-sc-6/")</f>
        <v>https://rotamaguswines.com/product/mouton-rothschild-1978-sc-6/</v>
      </c>
      <c r="K69" s="9" t="s">
        <v>184</v>
      </c>
    </row>
    <row r="70" spans="1:11">
      <c r="A70" s="2" t="s">
        <v>176</v>
      </c>
      <c r="B70" s="4">
        <v>1978.0</v>
      </c>
      <c r="C70" s="2" t="s">
        <v>12</v>
      </c>
      <c r="D70" s="6">
        <v>477.0</v>
      </c>
      <c r="E70" s="2" t="s">
        <v>177</v>
      </c>
      <c r="F70" s="2" t="s">
        <v>14</v>
      </c>
      <c r="G70" s="2" t="s">
        <v>15</v>
      </c>
      <c r="H70" s="8" t="s">
        <v>39</v>
      </c>
      <c r="I70" s="8" t="s">
        <v>87</v>
      </c>
      <c r="J70" s="10" t="str">
        <f>HYPERLINK("https://rotamaguswines.com/product/mouton-rothschild-1978-sc-7/","https://rotamaguswines.com/product/mouton-rothschild-1978-sc-7/")</f>
        <v>https://rotamaguswines.com/product/mouton-rothschild-1978-sc-7/</v>
      </c>
      <c r="K70" s="8" t="s">
        <v>185</v>
      </c>
    </row>
    <row r="71" spans="1:11">
      <c r="A71" s="3" t="s">
        <v>176</v>
      </c>
      <c r="B71" s="5">
        <v>1978.0</v>
      </c>
      <c r="C71" s="3" t="s">
        <v>12</v>
      </c>
      <c r="D71" s="7">
        <v>477.0</v>
      </c>
      <c r="E71" s="3" t="s">
        <v>177</v>
      </c>
      <c r="F71" s="3" t="s">
        <v>14</v>
      </c>
      <c r="G71" s="3" t="s">
        <v>15</v>
      </c>
      <c r="H71" s="9" t="s">
        <v>39</v>
      </c>
      <c r="I71" s="9" t="s">
        <v>87</v>
      </c>
      <c r="J71" s="11" t="str">
        <f>HYPERLINK("https://rotamaguswines.com/product/mouton-rothschild-1978-sc-8/","https://rotamaguswines.com/product/mouton-rothschild-1978-sc-8/")</f>
        <v>https://rotamaguswines.com/product/mouton-rothschild-1978-sc-8/</v>
      </c>
      <c r="K71" s="9" t="s">
        <v>186</v>
      </c>
    </row>
    <row r="72" spans="1:11">
      <c r="A72" s="2" t="s">
        <v>187</v>
      </c>
      <c r="B72" s="4">
        <v>1982.0</v>
      </c>
      <c r="C72" s="2" t="s">
        <v>132</v>
      </c>
      <c r="D72" s="6">
        <v>3000.0</v>
      </c>
      <c r="E72" s="2" t="s">
        <v>188</v>
      </c>
      <c r="F72" s="2" t="s">
        <v>14</v>
      </c>
      <c r="G72" s="2" t="s">
        <v>15</v>
      </c>
      <c r="H72" s="8" t="s">
        <v>39</v>
      </c>
      <c r="I72" s="8" t="s">
        <v>87</v>
      </c>
      <c r="J72" s="10" t="str">
        <f>HYPERLINK("https://rotamaguswines.com/product/mouton-rothschild-1982-magnum/","https://rotamaguswines.com/product/mouton-rothschild-1982-magnum/")</f>
        <v>https://rotamaguswines.com/product/mouton-rothschild-1982-magnum/</v>
      </c>
      <c r="K72" s="8" t="s">
        <v>189</v>
      </c>
    </row>
    <row r="73" spans="1:11">
      <c r="A73" s="3" t="s">
        <v>190</v>
      </c>
      <c r="B73" s="5">
        <v>1984.0</v>
      </c>
      <c r="C73" s="3" t="s">
        <v>12</v>
      </c>
      <c r="D73" s="7">
        <v>427.0</v>
      </c>
      <c r="E73" s="3" t="s">
        <v>191</v>
      </c>
      <c r="F73" s="3" t="s">
        <v>14</v>
      </c>
      <c r="G73" s="3" t="s">
        <v>15</v>
      </c>
      <c r="H73" s="9" t="s">
        <v>39</v>
      </c>
      <c r="I73" s="9" t="s">
        <v>87</v>
      </c>
      <c r="J73" s="11" t="str">
        <f>HYPERLINK("https://rotamaguswines.com/product/mouton-rothschild-1984/","https://rotamaguswines.com/product/mouton-rothschild-1984/")</f>
        <v>https://rotamaguswines.com/product/mouton-rothschild-1984/</v>
      </c>
      <c r="K73" s="9" t="s">
        <v>192</v>
      </c>
    </row>
    <row r="74" spans="1:11">
      <c r="A74" s="2" t="s">
        <v>193</v>
      </c>
      <c r="B74" s="4">
        <v>1986.0</v>
      </c>
      <c r="C74" s="2" t="s">
        <v>12</v>
      </c>
      <c r="D74" s="6">
        <v>897.0</v>
      </c>
      <c r="E74" s="2" t="s">
        <v>194</v>
      </c>
      <c r="F74" s="2" t="s">
        <v>14</v>
      </c>
      <c r="G74" s="2" t="s">
        <v>15</v>
      </c>
      <c r="H74" s="8" t="s">
        <v>39</v>
      </c>
      <c r="I74" s="8" t="s">
        <v>87</v>
      </c>
      <c r="J74" s="10" t="str">
        <f>HYPERLINK("https://rotamaguswines.com/product/mouton-rothschild-1986/","https://rotamaguswines.com/product/mouton-rothschild-1986/")</f>
        <v>https://rotamaguswines.com/product/mouton-rothschild-1986/</v>
      </c>
      <c r="K74" s="8" t="s">
        <v>195</v>
      </c>
    </row>
    <row r="75" spans="1:11">
      <c r="A75" s="3" t="s">
        <v>196</v>
      </c>
      <c r="B75" s="5">
        <v>1986.0</v>
      </c>
      <c r="C75" s="3" t="s">
        <v>132</v>
      </c>
      <c r="D75" s="7">
        <v>1850.0</v>
      </c>
      <c r="E75" s="3" t="s">
        <v>188</v>
      </c>
      <c r="F75" s="3" t="s">
        <v>14</v>
      </c>
      <c r="G75" s="3" t="s">
        <v>15</v>
      </c>
      <c r="H75" s="9" t="s">
        <v>39</v>
      </c>
      <c r="I75" s="9" t="s">
        <v>87</v>
      </c>
      <c r="J75" s="11" t="str">
        <f>HYPERLINK("https://rotamaguswines.com/product/mouton-rothschild-1986-magnum/","https://rotamaguswines.com/product/mouton-rothschild-1986-magnum/")</f>
        <v>https://rotamaguswines.com/product/mouton-rothschild-1986-magnum/</v>
      </c>
      <c r="K75" s="9" t="s">
        <v>197</v>
      </c>
    </row>
    <row r="76" spans="1:11">
      <c r="A76" s="2" t="s">
        <v>198</v>
      </c>
      <c r="B76" s="4">
        <v>1987.0</v>
      </c>
      <c r="C76" s="2" t="s">
        <v>12</v>
      </c>
      <c r="D76" s="6">
        <v>477.0</v>
      </c>
      <c r="E76" s="2" t="s">
        <v>199</v>
      </c>
      <c r="F76" s="2" t="s">
        <v>14</v>
      </c>
      <c r="G76" s="2" t="s">
        <v>15</v>
      </c>
      <c r="H76" s="8" t="s">
        <v>39</v>
      </c>
      <c r="I76" s="8" t="s">
        <v>87</v>
      </c>
      <c r="J76" s="10" t="str">
        <f>HYPERLINK("https://rotamaguswines.com/product/mouton-rothschild-1987/","https://rotamaguswines.com/product/mouton-rothschild-1987/")</f>
        <v>https://rotamaguswines.com/product/mouton-rothschild-1987/</v>
      </c>
      <c r="K76" s="8" t="s">
        <v>200</v>
      </c>
    </row>
    <row r="77" spans="1:11">
      <c r="A77" s="3" t="s">
        <v>198</v>
      </c>
      <c r="B77" s="5">
        <v>1987.0</v>
      </c>
      <c r="C77" s="3" t="s">
        <v>12</v>
      </c>
      <c r="D77" s="7">
        <v>477.0</v>
      </c>
      <c r="E77" s="3" t="s">
        <v>199</v>
      </c>
      <c r="F77" s="3" t="s">
        <v>14</v>
      </c>
      <c r="G77" s="3" t="s">
        <v>15</v>
      </c>
      <c r="H77" s="9" t="s">
        <v>39</v>
      </c>
      <c r="I77" s="9" t="s">
        <v>87</v>
      </c>
      <c r="J77" s="11" t="str">
        <f>HYPERLINK("https://rotamaguswines.com/product/mouton-rothschild-1987-2/","https://rotamaguswines.com/product/mouton-rothschild-1987-2/")</f>
        <v>https://rotamaguswines.com/product/mouton-rothschild-1987-2/</v>
      </c>
      <c r="K77" s="9" t="s">
        <v>201</v>
      </c>
    </row>
    <row r="78" spans="1:11">
      <c r="A78" s="2" t="s">
        <v>202</v>
      </c>
      <c r="B78" s="4">
        <v>1988.0</v>
      </c>
      <c r="C78" s="2" t="s">
        <v>12</v>
      </c>
      <c r="D78" s="6">
        <v>437.0</v>
      </c>
      <c r="E78" s="2" t="s">
        <v>199</v>
      </c>
      <c r="F78" s="2" t="s">
        <v>14</v>
      </c>
      <c r="G78" s="2" t="s">
        <v>15</v>
      </c>
      <c r="H78" s="8" t="s">
        <v>39</v>
      </c>
      <c r="I78" s="8" t="s">
        <v>87</v>
      </c>
      <c r="J78" s="10" t="str">
        <f>HYPERLINK("https://rotamaguswines.com/product/mouton-rothschild-1988/","https://rotamaguswines.com/product/mouton-rothschild-1988/")</f>
        <v>https://rotamaguswines.com/product/mouton-rothschild-1988/</v>
      </c>
      <c r="K78" s="8" t="s">
        <v>203</v>
      </c>
    </row>
    <row r="79" spans="1:11">
      <c r="A79" s="3" t="s">
        <v>202</v>
      </c>
      <c r="B79" s="5">
        <v>1988.0</v>
      </c>
      <c r="C79" s="3" t="s">
        <v>12</v>
      </c>
      <c r="D79" s="7">
        <v>437.0</v>
      </c>
      <c r="E79" s="3" t="s">
        <v>199</v>
      </c>
      <c r="F79" s="3" t="s">
        <v>14</v>
      </c>
      <c r="G79" s="3" t="s">
        <v>15</v>
      </c>
      <c r="H79" s="9" t="s">
        <v>39</v>
      </c>
      <c r="I79" s="9" t="s">
        <v>87</v>
      </c>
      <c r="J79" s="11" t="str">
        <f>HYPERLINK("https://rotamaguswines.com/product/mouton-rothschild-1988-2/","https://rotamaguswines.com/product/mouton-rothschild-1988-2/")</f>
        <v>https://rotamaguswines.com/product/mouton-rothschild-1988-2/</v>
      </c>
      <c r="K79" s="9" t="s">
        <v>204</v>
      </c>
    </row>
    <row r="80" spans="1:11">
      <c r="A80" s="2" t="s">
        <v>205</v>
      </c>
      <c r="B80" s="4">
        <v>1992.0</v>
      </c>
      <c r="C80" s="2" t="s">
        <v>12</v>
      </c>
      <c r="D80" s="6">
        <v>427.0</v>
      </c>
      <c r="E80" s="2" t="s">
        <v>188</v>
      </c>
      <c r="F80" s="2" t="s">
        <v>14</v>
      </c>
      <c r="G80" s="2" t="s">
        <v>15</v>
      </c>
      <c r="H80" s="8" t="s">
        <v>39</v>
      </c>
      <c r="I80" s="8" t="s">
        <v>87</v>
      </c>
      <c r="J80" s="10" t="str">
        <f>HYPERLINK("https://rotamaguswines.com/product/mouton-rothschild-1992/","https://rotamaguswines.com/product/mouton-rothschild-1992/")</f>
        <v>https://rotamaguswines.com/product/mouton-rothschild-1992/</v>
      </c>
      <c r="K80" s="8" t="s">
        <v>206</v>
      </c>
    </row>
    <row r="81" spans="1:11">
      <c r="A81" s="3" t="s">
        <v>207</v>
      </c>
      <c r="B81" s="5">
        <v>1992.0</v>
      </c>
      <c r="C81" s="3" t="s">
        <v>132</v>
      </c>
      <c r="D81" s="7">
        <v>777.0</v>
      </c>
      <c r="E81" s="3" t="s">
        <v>188</v>
      </c>
      <c r="F81" s="3" t="s">
        <v>14</v>
      </c>
      <c r="G81" s="3" t="s">
        <v>15</v>
      </c>
      <c r="H81" s="9" t="s">
        <v>39</v>
      </c>
      <c r="I81" s="9" t="s">
        <v>87</v>
      </c>
      <c r="J81" s="11" t="str">
        <f>HYPERLINK("https://rotamaguswines.com/product/mouton-rothschild-1992-magnum/","https://rotamaguswines.com/product/mouton-rothschild-1992-magnum/")</f>
        <v>https://rotamaguswines.com/product/mouton-rothschild-1992-magnum/</v>
      </c>
      <c r="K81" s="9" t="s">
        <v>208</v>
      </c>
    </row>
    <row r="82" spans="1:11">
      <c r="A82" s="2" t="s">
        <v>209</v>
      </c>
      <c r="B82" s="4">
        <v>1993.0</v>
      </c>
      <c r="C82" s="2" t="s">
        <v>12</v>
      </c>
      <c r="D82" s="6">
        <v>427.0</v>
      </c>
      <c r="E82" s="2" t="s">
        <v>188</v>
      </c>
      <c r="F82" s="2" t="s">
        <v>14</v>
      </c>
      <c r="G82" s="2" t="s">
        <v>15</v>
      </c>
      <c r="H82" s="8" t="s">
        <v>39</v>
      </c>
      <c r="I82" s="8" t="s">
        <v>87</v>
      </c>
      <c r="J82" s="10" t="str">
        <f>HYPERLINK("https://rotamaguswines.com/product/mouton-rothschild-1993/","https://rotamaguswines.com/product/mouton-rothschild-1993/")</f>
        <v>https://rotamaguswines.com/product/mouton-rothschild-1993/</v>
      </c>
      <c r="K82" s="8" t="s">
        <v>210</v>
      </c>
    </row>
    <row r="83" spans="1:11">
      <c r="A83" s="3" t="s">
        <v>211</v>
      </c>
      <c r="B83" s="5">
        <v>1993.0</v>
      </c>
      <c r="C83" s="3" t="s">
        <v>132</v>
      </c>
      <c r="D83" s="7">
        <v>897.0</v>
      </c>
      <c r="E83" s="3" t="s">
        <v>188</v>
      </c>
      <c r="F83" s="3" t="s">
        <v>14</v>
      </c>
      <c r="G83" s="3" t="s">
        <v>15</v>
      </c>
      <c r="H83" s="9" t="s">
        <v>39</v>
      </c>
      <c r="I83" s="9" t="s">
        <v>87</v>
      </c>
      <c r="J83" s="11" t="str">
        <f>HYPERLINK("https://rotamaguswines.com/product/mouton-rothschild-1993-magnum/","https://rotamaguswines.com/product/mouton-rothschild-1993-magnum/")</f>
        <v>https://rotamaguswines.com/product/mouton-rothschild-1993-magnum/</v>
      </c>
      <c r="K83" s="9" t="s">
        <v>212</v>
      </c>
    </row>
    <row r="84" spans="1:11">
      <c r="A84" s="2" t="s">
        <v>213</v>
      </c>
      <c r="B84" s="4">
        <v>1994.0</v>
      </c>
      <c r="C84" s="2" t="s">
        <v>12</v>
      </c>
      <c r="D84" s="6">
        <v>377.0</v>
      </c>
      <c r="E84" s="2" t="s">
        <v>214</v>
      </c>
      <c r="F84" s="2" t="s">
        <v>14</v>
      </c>
      <c r="G84" s="2" t="s">
        <v>15</v>
      </c>
      <c r="H84" s="8" t="s">
        <v>39</v>
      </c>
      <c r="I84" s="8" t="s">
        <v>87</v>
      </c>
      <c r="J84" s="10" t="str">
        <f>HYPERLINK("https://rotamaguswines.com/product/mouton-rothschild-1994/","https://rotamaguswines.com/product/mouton-rothschild-1994/")</f>
        <v>https://rotamaguswines.com/product/mouton-rothschild-1994/</v>
      </c>
      <c r="K84" s="8" t="s">
        <v>215</v>
      </c>
    </row>
    <row r="85" spans="1:11">
      <c r="A85" s="3" t="s">
        <v>213</v>
      </c>
      <c r="B85" s="5">
        <v>1994.0</v>
      </c>
      <c r="C85" s="3" t="s">
        <v>12</v>
      </c>
      <c r="D85" s="7">
        <v>277.0</v>
      </c>
      <c r="E85" s="3" t="s">
        <v>216</v>
      </c>
      <c r="F85" s="3" t="s">
        <v>14</v>
      </c>
      <c r="G85" s="3" t="s">
        <v>15</v>
      </c>
      <c r="H85" s="9" t="s">
        <v>39</v>
      </c>
      <c r="I85" s="9" t="s">
        <v>87</v>
      </c>
      <c r="J85" s="11" t="str">
        <f>HYPERLINK("https://rotamaguswines.com/product/mouton-rothschild-1994-2/","https://rotamaguswines.com/product/mouton-rothschild-1994-2/")</f>
        <v>https://rotamaguswines.com/product/mouton-rothschild-1994-2/</v>
      </c>
      <c r="K85" s="9" t="s">
        <v>217</v>
      </c>
    </row>
    <row r="86" spans="1:11">
      <c r="A86" s="2" t="s">
        <v>213</v>
      </c>
      <c r="B86" s="4">
        <v>1994.0</v>
      </c>
      <c r="C86" s="2" t="s">
        <v>12</v>
      </c>
      <c r="D86" s="6">
        <v>377.0</v>
      </c>
      <c r="E86" s="2" t="s">
        <v>216</v>
      </c>
      <c r="F86" s="2" t="s">
        <v>14</v>
      </c>
      <c r="G86" s="2" t="s">
        <v>15</v>
      </c>
      <c r="H86" s="8" t="s">
        <v>39</v>
      </c>
      <c r="I86" s="8" t="s">
        <v>87</v>
      </c>
      <c r="J86" s="10" t="str">
        <f>HYPERLINK("https://rotamaguswines.com/product/mouton-rothschild-1994-3/","https://rotamaguswines.com/product/mouton-rothschild-1994-3/")</f>
        <v>https://rotamaguswines.com/product/mouton-rothschild-1994-3/</v>
      </c>
      <c r="K86" s="8" t="s">
        <v>218</v>
      </c>
    </row>
    <row r="87" spans="1:11">
      <c r="A87" s="3" t="s">
        <v>219</v>
      </c>
      <c r="B87" s="5">
        <v>1994.0</v>
      </c>
      <c r="C87" s="3" t="s">
        <v>132</v>
      </c>
      <c r="D87" s="7">
        <v>747.0</v>
      </c>
      <c r="E87" s="3" t="s">
        <v>188</v>
      </c>
      <c r="F87" s="3" t="s">
        <v>14</v>
      </c>
      <c r="G87" s="3" t="s">
        <v>15</v>
      </c>
      <c r="H87" s="9" t="s">
        <v>39</v>
      </c>
      <c r="I87" s="9" t="s">
        <v>87</v>
      </c>
      <c r="J87" s="11" t="str">
        <f>HYPERLINK("https://rotamaguswines.com/product/mouton-rothschild-1994-magnum/","https://rotamaguswines.com/product/mouton-rothschild-1994-magnum/")</f>
        <v>https://rotamaguswines.com/product/mouton-rothschild-1994-magnum/</v>
      </c>
      <c r="K87" s="9" t="s">
        <v>220</v>
      </c>
    </row>
    <row r="88" spans="1:11">
      <c r="A88" s="2" t="s">
        <v>221</v>
      </c>
      <c r="B88" s="4">
        <v>1997.0</v>
      </c>
      <c r="C88" s="2" t="s">
        <v>12</v>
      </c>
      <c r="D88" s="6">
        <v>407.0</v>
      </c>
      <c r="E88" s="2" t="s">
        <v>222</v>
      </c>
      <c r="F88" s="2" t="s">
        <v>14</v>
      </c>
      <c r="G88" s="2" t="s">
        <v>15</v>
      </c>
      <c r="H88" s="8" t="s">
        <v>39</v>
      </c>
      <c r="I88" s="8" t="s">
        <v>87</v>
      </c>
      <c r="J88" s="10" t="str">
        <f>HYPERLINK("https://rotamaguswines.com/product/mouton-rothschild-1997/","https://rotamaguswines.com/product/mouton-rothschild-1997/")</f>
        <v>https://rotamaguswines.com/product/mouton-rothschild-1997/</v>
      </c>
      <c r="K88" s="8" t="s">
        <v>223</v>
      </c>
    </row>
    <row r="89" spans="1:11">
      <c r="A89" s="3" t="s">
        <v>221</v>
      </c>
      <c r="B89" s="5">
        <v>1997.0</v>
      </c>
      <c r="C89" s="3" t="s">
        <v>12</v>
      </c>
      <c r="D89" s="7">
        <v>407.0</v>
      </c>
      <c r="E89" s="3" t="s">
        <v>222</v>
      </c>
      <c r="F89" s="3" t="s">
        <v>14</v>
      </c>
      <c r="G89" s="3" t="s">
        <v>15</v>
      </c>
      <c r="H89" s="9" t="s">
        <v>39</v>
      </c>
      <c r="I89" s="9" t="s">
        <v>87</v>
      </c>
      <c r="J89" s="11" t="str">
        <f>HYPERLINK("https://rotamaguswines.com/product/mouton-rothschild-1997-2/","https://rotamaguswines.com/product/mouton-rothschild-1997-2/")</f>
        <v>https://rotamaguswines.com/product/mouton-rothschild-1997-2/</v>
      </c>
      <c r="K89" s="9" t="s">
        <v>224</v>
      </c>
    </row>
    <row r="90" spans="1:11">
      <c r="A90" s="2" t="s">
        <v>225</v>
      </c>
      <c r="B90" s="4">
        <v>1998.0</v>
      </c>
      <c r="C90" s="2" t="s">
        <v>12</v>
      </c>
      <c r="D90" s="6">
        <v>437.0</v>
      </c>
      <c r="E90" s="2" t="s">
        <v>188</v>
      </c>
      <c r="F90" s="2" t="s">
        <v>14</v>
      </c>
      <c r="G90" s="2" t="s">
        <v>15</v>
      </c>
      <c r="H90" s="8" t="s">
        <v>39</v>
      </c>
      <c r="I90" s="8" t="s">
        <v>87</v>
      </c>
      <c r="J90" s="10" t="str">
        <f>HYPERLINK("https://rotamaguswines.com/product/mouton-rothschild-1998/","https://rotamaguswines.com/product/mouton-rothschild-1998/")</f>
        <v>https://rotamaguswines.com/product/mouton-rothschild-1998/</v>
      </c>
      <c r="K90" s="8" t="s">
        <v>226</v>
      </c>
    </row>
    <row r="91" spans="1:11">
      <c r="A91" s="3" t="s">
        <v>227</v>
      </c>
      <c r="B91" s="5">
        <v>1999.0</v>
      </c>
      <c r="C91" s="3" t="s">
        <v>12</v>
      </c>
      <c r="D91" s="7">
        <v>477.0</v>
      </c>
      <c r="E91" s="3" t="s">
        <v>228</v>
      </c>
      <c r="F91" s="3" t="s">
        <v>14</v>
      </c>
      <c r="G91" s="3" t="s">
        <v>15</v>
      </c>
      <c r="H91" s="9" t="s">
        <v>39</v>
      </c>
      <c r="I91" s="9" t="s">
        <v>87</v>
      </c>
      <c r="J91" s="11" t="str">
        <f>HYPERLINK("https://rotamaguswines.com/product/mouton-rothschild-1999/","https://rotamaguswines.com/product/mouton-rothschild-1999/")</f>
        <v>https://rotamaguswines.com/product/mouton-rothschild-1999/</v>
      </c>
      <c r="K91" s="9" t="s">
        <v>229</v>
      </c>
    </row>
    <row r="92" spans="1:11">
      <c r="A92" s="2" t="s">
        <v>227</v>
      </c>
      <c r="B92" s="4">
        <v>1999.0</v>
      </c>
      <c r="C92" s="2" t="s">
        <v>12</v>
      </c>
      <c r="D92" s="6">
        <v>487.0</v>
      </c>
      <c r="E92" s="2" t="s">
        <v>188</v>
      </c>
      <c r="F92" s="2" t="s">
        <v>14</v>
      </c>
      <c r="G92" s="2" t="s">
        <v>15</v>
      </c>
      <c r="H92" s="8" t="s">
        <v>39</v>
      </c>
      <c r="I92" s="8" t="s">
        <v>87</v>
      </c>
      <c r="J92" s="10" t="str">
        <f>HYPERLINK("https://rotamaguswines.com/product/mouton-rothschild-1999-2/","https://rotamaguswines.com/product/mouton-rothschild-1999-2/")</f>
        <v>https://rotamaguswines.com/product/mouton-rothschild-1999-2/</v>
      </c>
      <c r="K92" s="8" t="s">
        <v>230</v>
      </c>
    </row>
    <row r="93" spans="1:11">
      <c r="A93" s="3" t="s">
        <v>231</v>
      </c>
      <c r="B93" s="5">
        <v>1999.0</v>
      </c>
      <c r="C93" s="3" t="s">
        <v>132</v>
      </c>
      <c r="D93" s="7">
        <v>907.0</v>
      </c>
      <c r="E93" s="3" t="s">
        <v>216</v>
      </c>
      <c r="F93" s="3" t="s">
        <v>14</v>
      </c>
      <c r="G93" s="3" t="s">
        <v>15</v>
      </c>
      <c r="H93" s="9" t="s">
        <v>39</v>
      </c>
      <c r="I93" s="9" t="s">
        <v>87</v>
      </c>
      <c r="J93" s="11" t="str">
        <f>HYPERLINK("https://rotamaguswines.com/product/mouton-rothschild-1999-magnum/","https://rotamaguswines.com/product/mouton-rothschild-1999-magnum/")</f>
        <v>https://rotamaguswines.com/product/mouton-rothschild-1999-magnum/</v>
      </c>
      <c r="K93" s="9" t="s">
        <v>232</v>
      </c>
    </row>
    <row r="94" spans="1:11">
      <c r="A94" s="2" t="s">
        <v>233</v>
      </c>
      <c r="B94" s="4">
        <v>2000.0</v>
      </c>
      <c r="C94" s="2" t="s">
        <v>132</v>
      </c>
      <c r="D94" s="6">
        <v>2850.0</v>
      </c>
      <c r="E94" s="2" t="s">
        <v>216</v>
      </c>
      <c r="F94" s="2" t="s">
        <v>14</v>
      </c>
      <c r="G94" s="2" t="s">
        <v>15</v>
      </c>
      <c r="H94" s="8" t="s">
        <v>39</v>
      </c>
      <c r="I94" s="8" t="s">
        <v>87</v>
      </c>
      <c r="J94" s="10" t="str">
        <f>HYPERLINK("https://rotamaguswines.com/product/mouton-rothschild-2000-magnum/","https://rotamaguswines.com/product/mouton-rothschild-2000-magnum/")</f>
        <v>https://rotamaguswines.com/product/mouton-rothschild-2000-magnum/</v>
      </c>
      <c r="K94" s="8" t="s">
        <v>234</v>
      </c>
    </row>
    <row r="95" spans="1:11">
      <c r="A95" s="3" t="s">
        <v>235</v>
      </c>
      <c r="B95" s="5">
        <v>2002.0</v>
      </c>
      <c r="C95" s="3" t="s">
        <v>132</v>
      </c>
      <c r="D95" s="7">
        <v>977.0</v>
      </c>
      <c r="E95" s="3" t="s">
        <v>188</v>
      </c>
      <c r="F95" s="3" t="s">
        <v>14</v>
      </c>
      <c r="G95" s="3" t="s">
        <v>15</v>
      </c>
      <c r="H95" s="9" t="s">
        <v>39</v>
      </c>
      <c r="I95" s="9" t="s">
        <v>87</v>
      </c>
      <c r="J95" s="11" t="str">
        <f>HYPERLINK("https://rotamaguswines.com/product/mouton-rothschild-2002-magnum/","https://rotamaguswines.com/product/mouton-rothschild-2002-magnum/")</f>
        <v>https://rotamaguswines.com/product/mouton-rothschild-2002-magnum/</v>
      </c>
      <c r="K95" s="9" t="s">
        <v>236</v>
      </c>
    </row>
    <row r="96" spans="1:11">
      <c r="A96" s="2" t="s">
        <v>237</v>
      </c>
      <c r="B96" s="4">
        <v>2003.0</v>
      </c>
      <c r="C96" s="2" t="s">
        <v>12</v>
      </c>
      <c r="D96" s="6">
        <v>447.0</v>
      </c>
      <c r="E96" s="2" t="s">
        <v>238</v>
      </c>
      <c r="F96" s="2" t="s">
        <v>14</v>
      </c>
      <c r="G96" s="2" t="s">
        <v>15</v>
      </c>
      <c r="H96" s="8" t="s">
        <v>39</v>
      </c>
      <c r="I96" s="8" t="s">
        <v>87</v>
      </c>
      <c r="J96" s="10" t="str">
        <f>HYPERLINK("https://rotamaguswines.com/product/mouton-rothschild-2003/","https://rotamaguswines.com/product/mouton-rothschild-2003/")</f>
        <v>https://rotamaguswines.com/product/mouton-rothschild-2003/</v>
      </c>
      <c r="K96" s="8" t="s">
        <v>239</v>
      </c>
    </row>
    <row r="97" spans="1:11">
      <c r="A97" s="3" t="s">
        <v>240</v>
      </c>
      <c r="B97" s="5">
        <v>1928.0</v>
      </c>
      <c r="C97" s="3" t="s">
        <v>12</v>
      </c>
      <c r="D97" s="7">
        <v>1500.0</v>
      </c>
      <c r="E97" s="3" t="s">
        <v>241</v>
      </c>
      <c r="F97" s="3" t="s">
        <v>14</v>
      </c>
      <c r="G97" s="3" t="s">
        <v>15</v>
      </c>
      <c r="H97" s="9" t="s">
        <v>39</v>
      </c>
      <c r="I97" s="9" t="s">
        <v>242</v>
      </c>
      <c r="J97" s="11" t="str">
        <f>HYPERLINK("https://rotamaguswines.com/product/pichon-lalande-1928/","https://rotamaguswines.com/product/pichon-lalande-1928/")</f>
        <v>https://rotamaguswines.com/product/pichon-lalande-1928/</v>
      </c>
      <c r="K97" s="9" t="s">
        <v>243</v>
      </c>
    </row>
    <row r="98" spans="1:11">
      <c r="A98" s="2" t="s">
        <v>244</v>
      </c>
      <c r="B98" s="4">
        <v>1945.0</v>
      </c>
      <c r="C98" s="2" t="s">
        <v>12</v>
      </c>
      <c r="D98" s="6">
        <v>787.0</v>
      </c>
      <c r="E98" s="2" t="s">
        <v>245</v>
      </c>
      <c r="F98" s="2" t="s">
        <v>14</v>
      </c>
      <c r="G98" s="2" t="s">
        <v>15</v>
      </c>
      <c r="H98" s="8" t="s">
        <v>39</v>
      </c>
      <c r="I98" s="8" t="s">
        <v>242</v>
      </c>
      <c r="J98" s="10" t="str">
        <f>HYPERLINK("https://rotamaguswines.com/product/pichon-lalande-1945/","https://rotamaguswines.com/product/pichon-lalande-1945/")</f>
        <v>https://rotamaguswines.com/product/pichon-lalande-1945/</v>
      </c>
      <c r="K98" s="8" t="s">
        <v>246</v>
      </c>
    </row>
    <row r="99" spans="1:11">
      <c r="A99" s="3" t="s">
        <v>247</v>
      </c>
      <c r="B99" s="5">
        <v>1978.0</v>
      </c>
      <c r="C99" s="3" t="s">
        <v>12</v>
      </c>
      <c r="D99" s="7">
        <v>537.0</v>
      </c>
      <c r="E99" s="3" t="s">
        <v>248</v>
      </c>
      <c r="F99" s="3" t="s">
        <v>14</v>
      </c>
      <c r="G99" s="3" t="s">
        <v>15</v>
      </c>
      <c r="H99" s="9" t="s">
        <v>249</v>
      </c>
      <c r="I99" s="9" t="s">
        <v>250</v>
      </c>
      <c r="J99" s="11" t="str">
        <f>HYPERLINK("https://rotamaguswines.com/product/haut-brion-1978-blanc/","https://rotamaguswines.com/product/haut-brion-1978-blanc/")</f>
        <v>https://rotamaguswines.com/product/haut-brion-1978-blanc/</v>
      </c>
      <c r="K99" s="9" t="s">
        <v>251</v>
      </c>
    </row>
    <row r="100" spans="1:11">
      <c r="A100" s="2" t="s">
        <v>252</v>
      </c>
      <c r="B100" s="4">
        <v>1945.0</v>
      </c>
      <c r="C100" s="2" t="s">
        <v>12</v>
      </c>
      <c r="D100" s="6">
        <v>4700.0</v>
      </c>
      <c r="E100" s="2" t="s">
        <v>253</v>
      </c>
      <c r="F100" s="2" t="s">
        <v>14</v>
      </c>
      <c r="G100" s="2" t="s">
        <v>15</v>
      </c>
      <c r="H100" s="8" t="s">
        <v>254</v>
      </c>
      <c r="I100" s="8" t="s">
        <v>250</v>
      </c>
      <c r="J100" s="10" t="str">
        <f>HYPERLINK("https://rotamaguswines.com/product/haut-brion-1945/","https://rotamaguswines.com/product/haut-brion-1945/")</f>
        <v>https://rotamaguswines.com/product/haut-brion-1945/</v>
      </c>
      <c r="K100" s="8" t="s">
        <v>255</v>
      </c>
    </row>
    <row r="101" spans="1:11">
      <c r="A101" s="3" t="s">
        <v>256</v>
      </c>
      <c r="B101" s="5">
        <v>1953.0</v>
      </c>
      <c r="C101" s="3" t="s">
        <v>12</v>
      </c>
      <c r="D101" s="7">
        <v>1750.0</v>
      </c>
      <c r="E101" s="3" t="s">
        <v>257</v>
      </c>
      <c r="F101" s="3" t="s">
        <v>14</v>
      </c>
      <c r="G101" s="3" t="s">
        <v>15</v>
      </c>
      <c r="H101" s="9" t="s">
        <v>254</v>
      </c>
      <c r="I101" s="9" t="s">
        <v>250</v>
      </c>
      <c r="J101" s="11" t="str">
        <f>HYPERLINK("https://rotamaguswines.com/product/haut-brion-1953/","https://rotamaguswines.com/product/haut-brion-1953/")</f>
        <v>https://rotamaguswines.com/product/haut-brion-1953/</v>
      </c>
      <c r="K101" s="9" t="s">
        <v>258</v>
      </c>
    </row>
    <row r="102" spans="1:11">
      <c r="A102" s="2" t="s">
        <v>256</v>
      </c>
      <c r="B102" s="4">
        <v>1953.0</v>
      </c>
      <c r="C102" s="2" t="s">
        <v>12</v>
      </c>
      <c r="D102" s="6">
        <v>1750.0</v>
      </c>
      <c r="E102" s="2" t="s">
        <v>259</v>
      </c>
      <c r="F102" s="2" t="s">
        <v>14</v>
      </c>
      <c r="G102" s="2" t="s">
        <v>15</v>
      </c>
      <c r="H102" s="8" t="s">
        <v>254</v>
      </c>
      <c r="I102" s="8" t="s">
        <v>250</v>
      </c>
      <c r="J102" s="10" t="str">
        <f>HYPERLINK("https://rotamaguswines.com/product/haut-brion-1953-2/","https://rotamaguswines.com/product/haut-brion-1953-2/")</f>
        <v>https://rotamaguswines.com/product/haut-brion-1953-2/</v>
      </c>
      <c r="K102" s="8" t="s">
        <v>260</v>
      </c>
    </row>
    <row r="103" spans="1:11">
      <c r="A103" s="3" t="s">
        <v>256</v>
      </c>
      <c r="B103" s="5">
        <v>1953.0</v>
      </c>
      <c r="C103" s="3" t="s">
        <v>12</v>
      </c>
      <c r="D103" s="7">
        <v>1550.0</v>
      </c>
      <c r="E103" s="3" t="s">
        <v>261</v>
      </c>
      <c r="F103" s="3" t="s">
        <v>14</v>
      </c>
      <c r="G103" s="3" t="s">
        <v>15</v>
      </c>
      <c r="H103" s="9" t="s">
        <v>254</v>
      </c>
      <c r="I103" s="9" t="s">
        <v>250</v>
      </c>
      <c r="J103" s="11" t="str">
        <f>HYPERLINK("https://rotamaguswines.com/product/haut-brion-1953-3/","https://rotamaguswines.com/product/haut-brion-1953-3/")</f>
        <v>https://rotamaguswines.com/product/haut-brion-1953-3/</v>
      </c>
      <c r="K103" s="9" t="s">
        <v>262</v>
      </c>
    </row>
    <row r="104" spans="1:11">
      <c r="A104" s="2" t="s">
        <v>256</v>
      </c>
      <c r="B104" s="4">
        <v>1953.0</v>
      </c>
      <c r="C104" s="2" t="s">
        <v>12</v>
      </c>
      <c r="D104" s="6">
        <v>477.0</v>
      </c>
      <c r="E104" s="2" t="s">
        <v>263</v>
      </c>
      <c r="F104" s="2" t="s">
        <v>14</v>
      </c>
      <c r="G104" s="2" t="s">
        <v>15</v>
      </c>
      <c r="H104" s="8" t="s">
        <v>254</v>
      </c>
      <c r="I104" s="8" t="s">
        <v>250</v>
      </c>
      <c r="J104" s="10" t="str">
        <f>HYPERLINK("https://rotamaguswines.com/product/haut-brion-1953-4/","https://rotamaguswines.com/product/haut-brion-1953-4/")</f>
        <v>https://rotamaguswines.com/product/haut-brion-1953-4/</v>
      </c>
      <c r="K104" s="8" t="s">
        <v>264</v>
      </c>
    </row>
    <row r="105" spans="1:11">
      <c r="A105" s="3" t="s">
        <v>265</v>
      </c>
      <c r="B105" s="5">
        <v>1955.0</v>
      </c>
      <c r="C105" s="3" t="s">
        <v>12</v>
      </c>
      <c r="D105" s="7">
        <v>2200.0</v>
      </c>
      <c r="E105" s="3" t="s">
        <v>266</v>
      </c>
      <c r="F105" s="3" t="s">
        <v>14</v>
      </c>
      <c r="G105" s="3" t="s">
        <v>15</v>
      </c>
      <c r="H105" s="9" t="s">
        <v>254</v>
      </c>
      <c r="I105" s="9" t="s">
        <v>250</v>
      </c>
      <c r="J105" s="11" t="str">
        <f>HYPERLINK("https://rotamaguswines.com/product/haut-brion-1955/","https://rotamaguswines.com/product/haut-brion-1955/")</f>
        <v>https://rotamaguswines.com/product/haut-brion-1955/</v>
      </c>
      <c r="K105" s="9" t="s">
        <v>267</v>
      </c>
    </row>
    <row r="106" spans="1:11">
      <c r="A106" s="2" t="s">
        <v>268</v>
      </c>
      <c r="B106" s="4">
        <v>1937.0</v>
      </c>
      <c r="C106" s="2" t="s">
        <v>132</v>
      </c>
      <c r="D106" s="6">
        <v>687.0</v>
      </c>
      <c r="E106" s="2" t="s">
        <v>269</v>
      </c>
      <c r="F106" s="2" t="s">
        <v>14</v>
      </c>
      <c r="G106" s="2" t="s">
        <v>15</v>
      </c>
      <c r="H106" s="8" t="s">
        <v>254</v>
      </c>
      <c r="I106" s="8" t="s">
        <v>270</v>
      </c>
      <c r="J106" s="10" t="str">
        <f>HYPERLINK("https://rotamaguswines.com/product/malartic-la-graviere-1937-magnum/","https://rotamaguswines.com/product/malartic-la-graviere-1937-magnum/")</f>
        <v>https://rotamaguswines.com/product/malartic-la-graviere-1937-magnum/</v>
      </c>
      <c r="K106" s="8" t="s">
        <v>271</v>
      </c>
    </row>
    <row r="107" spans="1:11">
      <c r="A107" s="3" t="s">
        <v>272</v>
      </c>
      <c r="B107" s="5">
        <v>1914.0</v>
      </c>
      <c r="C107" s="3" t="s">
        <v>12</v>
      </c>
      <c r="D107" s="7">
        <v>2100.0</v>
      </c>
      <c r="E107" s="3" t="s">
        <v>273</v>
      </c>
      <c r="F107" s="3" t="s">
        <v>14</v>
      </c>
      <c r="G107" s="3" t="s">
        <v>15</v>
      </c>
      <c r="H107" s="9" t="s">
        <v>254</v>
      </c>
      <c r="I107" s="9" t="s">
        <v>274</v>
      </c>
      <c r="J107" s="11" t="str">
        <f>HYPERLINK("https://rotamaguswines.com/product/mission-haut-brion-1914/","https://rotamaguswines.com/product/mission-haut-brion-1914/")</f>
        <v>https://rotamaguswines.com/product/mission-haut-brion-1914/</v>
      </c>
      <c r="K107" s="9" t="s">
        <v>275</v>
      </c>
    </row>
    <row r="108" spans="1:11">
      <c r="A108" s="2" t="s">
        <v>276</v>
      </c>
      <c r="B108" s="4">
        <v>1928.0</v>
      </c>
      <c r="C108" s="2" t="s">
        <v>12</v>
      </c>
      <c r="D108" s="6">
        <v>3000.0</v>
      </c>
      <c r="E108" s="2" t="s">
        <v>277</v>
      </c>
      <c r="F108" s="2" t="s">
        <v>14</v>
      </c>
      <c r="G108" s="2" t="s">
        <v>15</v>
      </c>
      <c r="H108" s="8" t="s">
        <v>254</v>
      </c>
      <c r="I108" s="8" t="s">
        <v>274</v>
      </c>
      <c r="J108" s="10" t="str">
        <f>HYPERLINK("https://rotamaguswines.com/product/mission-haut-brion-1928/","https://rotamaguswines.com/product/mission-haut-brion-1928/")</f>
        <v>https://rotamaguswines.com/product/mission-haut-brion-1928/</v>
      </c>
      <c r="K108" s="8" t="s">
        <v>278</v>
      </c>
    </row>
    <row r="109" spans="1:11">
      <c r="A109" s="3" t="s">
        <v>279</v>
      </c>
      <c r="B109" s="5">
        <v>1929.0</v>
      </c>
      <c r="C109" s="3" t="s">
        <v>12</v>
      </c>
      <c r="D109" s="7">
        <v>3000.0</v>
      </c>
      <c r="E109" s="3" t="s">
        <v>280</v>
      </c>
      <c r="F109" s="3" t="s">
        <v>14</v>
      </c>
      <c r="G109" s="3" t="s">
        <v>15</v>
      </c>
      <c r="H109" s="9" t="s">
        <v>254</v>
      </c>
      <c r="I109" s="9" t="s">
        <v>274</v>
      </c>
      <c r="J109" s="11" t="str">
        <f>HYPERLINK("https://rotamaguswines.com/product/mission-haut-brion-1929/","https://rotamaguswines.com/product/mission-haut-brion-1929/")</f>
        <v>https://rotamaguswines.com/product/mission-haut-brion-1929/</v>
      </c>
      <c r="K109" s="9" t="s">
        <v>281</v>
      </c>
    </row>
    <row r="110" spans="1:11">
      <c r="A110" s="2" t="s">
        <v>279</v>
      </c>
      <c r="B110" s="4">
        <v>1929.0</v>
      </c>
      <c r="C110" s="2" t="s">
        <v>12</v>
      </c>
      <c r="D110" s="6">
        <v>3000.0</v>
      </c>
      <c r="E110" s="2" t="s">
        <v>280</v>
      </c>
      <c r="F110" s="2" t="s">
        <v>14</v>
      </c>
      <c r="G110" s="2" t="s">
        <v>15</v>
      </c>
      <c r="H110" s="8" t="s">
        <v>254</v>
      </c>
      <c r="I110" s="8" t="s">
        <v>274</v>
      </c>
      <c r="J110" s="10" t="str">
        <f>HYPERLINK("https://rotamaguswines.com/product/mission-haut-brion-1929-2/","https://rotamaguswines.com/product/mission-haut-brion-1929-2/")</f>
        <v>https://rotamaguswines.com/product/mission-haut-brion-1929-2/</v>
      </c>
      <c r="K110" s="8" t="s">
        <v>282</v>
      </c>
    </row>
    <row r="111" spans="1:11">
      <c r="A111" s="3" t="s">
        <v>283</v>
      </c>
      <c r="B111" s="5">
        <v>1937.0</v>
      </c>
      <c r="C111" s="3" t="s">
        <v>12</v>
      </c>
      <c r="D111" s="7">
        <v>1100.0</v>
      </c>
      <c r="E111" s="3" t="s">
        <v>284</v>
      </c>
      <c r="F111" s="3" t="s">
        <v>14</v>
      </c>
      <c r="G111" s="3" t="s">
        <v>15</v>
      </c>
      <c r="H111" s="9" t="s">
        <v>254</v>
      </c>
      <c r="I111" s="9" t="s">
        <v>274</v>
      </c>
      <c r="J111" s="11" t="str">
        <f>HYPERLINK("https://rotamaguswines.com/product/mission-haut-brion-1937/","https://rotamaguswines.com/product/mission-haut-brion-1937/")</f>
        <v>https://rotamaguswines.com/product/mission-haut-brion-1937/</v>
      </c>
      <c r="K111" s="9" t="s">
        <v>285</v>
      </c>
    </row>
    <row r="112" spans="1:11">
      <c r="A112" s="2" t="s">
        <v>283</v>
      </c>
      <c r="B112" s="4">
        <v>1937.0</v>
      </c>
      <c r="C112" s="2" t="s">
        <v>12</v>
      </c>
      <c r="D112" s="6">
        <v>1100.0</v>
      </c>
      <c r="E112" s="2" t="s">
        <v>286</v>
      </c>
      <c r="F112" s="2" t="s">
        <v>14</v>
      </c>
      <c r="G112" s="2" t="s">
        <v>15</v>
      </c>
      <c r="H112" s="8" t="s">
        <v>254</v>
      </c>
      <c r="I112" s="8" t="s">
        <v>274</v>
      </c>
      <c r="J112" s="10" t="str">
        <f>HYPERLINK("https://rotamaguswines.com/product/mission-haut-brion-1937-2/","https://rotamaguswines.com/product/mission-haut-brion-1937-2/")</f>
        <v>https://rotamaguswines.com/product/mission-haut-brion-1937-2/</v>
      </c>
      <c r="K112" s="8" t="s">
        <v>287</v>
      </c>
    </row>
    <row r="113" spans="1:11">
      <c r="A113" s="3" t="s">
        <v>288</v>
      </c>
      <c r="B113" s="5">
        <v>1939.0</v>
      </c>
      <c r="C113" s="3" t="s">
        <v>12</v>
      </c>
      <c r="D113" s="7">
        <v>937.0</v>
      </c>
      <c r="E113" s="3" t="s">
        <v>289</v>
      </c>
      <c r="F113" s="3" t="s">
        <v>14</v>
      </c>
      <c r="G113" s="3" t="s">
        <v>15</v>
      </c>
      <c r="H113" s="9" t="s">
        <v>254</v>
      </c>
      <c r="I113" s="9" t="s">
        <v>274</v>
      </c>
      <c r="J113" s="11" t="str">
        <f>HYPERLINK("https://rotamaguswines.com/product/mission-haut-brion-1939/","https://rotamaguswines.com/product/mission-haut-brion-1939/")</f>
        <v>https://rotamaguswines.com/product/mission-haut-brion-1939/</v>
      </c>
      <c r="K113" s="9" t="s">
        <v>290</v>
      </c>
    </row>
    <row r="114" spans="1:11">
      <c r="A114" s="2" t="s">
        <v>291</v>
      </c>
      <c r="B114" s="4">
        <v>1941.0</v>
      </c>
      <c r="C114" s="2" t="s">
        <v>12</v>
      </c>
      <c r="D114" s="6">
        <v>1100.0</v>
      </c>
      <c r="E114" s="2" t="s">
        <v>292</v>
      </c>
      <c r="F114" s="2" t="s">
        <v>14</v>
      </c>
      <c r="G114" s="2" t="s">
        <v>15</v>
      </c>
      <c r="H114" s="8" t="s">
        <v>254</v>
      </c>
      <c r="I114" s="8" t="s">
        <v>274</v>
      </c>
      <c r="J114" s="10" t="str">
        <f>HYPERLINK("https://rotamaguswines.com/product/mission-haut-brion-1941/","https://rotamaguswines.com/product/mission-haut-brion-1941/")</f>
        <v>https://rotamaguswines.com/product/mission-haut-brion-1941/</v>
      </c>
      <c r="K114" s="8" t="s">
        <v>293</v>
      </c>
    </row>
    <row r="115" spans="1:11">
      <c r="A115" s="3" t="s">
        <v>294</v>
      </c>
      <c r="B115" s="5">
        <v>1944.0</v>
      </c>
      <c r="C115" s="3" t="s">
        <v>12</v>
      </c>
      <c r="D115" s="7">
        <v>1190.0</v>
      </c>
      <c r="E115" s="3" t="s">
        <v>295</v>
      </c>
      <c r="F115" s="3" t="s">
        <v>14</v>
      </c>
      <c r="G115" s="3" t="s">
        <v>15</v>
      </c>
      <c r="H115" s="9" t="s">
        <v>254</v>
      </c>
      <c r="I115" s="9" t="s">
        <v>274</v>
      </c>
      <c r="J115" s="11" t="str">
        <f>HYPERLINK("https://rotamaguswines.com/product/mission-haut-brion-1944/","https://rotamaguswines.com/product/mission-haut-brion-1944/")</f>
        <v>https://rotamaguswines.com/product/mission-haut-brion-1944/</v>
      </c>
      <c r="K115" s="9" t="s">
        <v>296</v>
      </c>
    </row>
    <row r="116" spans="1:11">
      <c r="A116" s="2" t="s">
        <v>297</v>
      </c>
      <c r="B116" s="4">
        <v>1952.0</v>
      </c>
      <c r="C116" s="2" t="s">
        <v>12</v>
      </c>
      <c r="D116" s="6">
        <v>1800.0</v>
      </c>
      <c r="E116" s="2" t="s">
        <v>298</v>
      </c>
      <c r="F116" s="2" t="s">
        <v>14</v>
      </c>
      <c r="G116" s="2" t="s">
        <v>15</v>
      </c>
      <c r="H116" s="8" t="s">
        <v>254</v>
      </c>
      <c r="I116" s="8" t="s">
        <v>274</v>
      </c>
      <c r="J116" s="10" t="str">
        <f>HYPERLINK("https://rotamaguswines.com/product/mission-haut-brion-1952/","https://rotamaguswines.com/product/mission-haut-brion-1952/")</f>
        <v>https://rotamaguswines.com/product/mission-haut-brion-1952/</v>
      </c>
      <c r="K116" s="8" t="s">
        <v>299</v>
      </c>
    </row>
    <row r="117" spans="1:11">
      <c r="A117" s="3" t="s">
        <v>297</v>
      </c>
      <c r="B117" s="5">
        <v>1952.0</v>
      </c>
      <c r="C117" s="3" t="s">
        <v>12</v>
      </c>
      <c r="D117" s="7">
        <v>1800.0</v>
      </c>
      <c r="E117" s="3" t="s">
        <v>298</v>
      </c>
      <c r="F117" s="3" t="s">
        <v>14</v>
      </c>
      <c r="G117" s="3" t="s">
        <v>15</v>
      </c>
      <c r="H117" s="9" t="s">
        <v>254</v>
      </c>
      <c r="I117" s="9" t="s">
        <v>274</v>
      </c>
      <c r="J117" s="11" t="str">
        <f>HYPERLINK("https://rotamaguswines.com/product/mission-haut-brion-1952-2/","https://rotamaguswines.com/product/mission-haut-brion-1952-2/")</f>
        <v>https://rotamaguswines.com/product/mission-haut-brion-1952-2/</v>
      </c>
      <c r="K117" s="9" t="s">
        <v>300</v>
      </c>
    </row>
    <row r="118" spans="1:11">
      <c r="A118" s="2" t="s">
        <v>297</v>
      </c>
      <c r="B118" s="4">
        <v>1952.0</v>
      </c>
      <c r="C118" s="2" t="s">
        <v>12</v>
      </c>
      <c r="D118" s="6">
        <v>1800.0</v>
      </c>
      <c r="E118" s="2" t="s">
        <v>298</v>
      </c>
      <c r="F118" s="2" t="s">
        <v>14</v>
      </c>
      <c r="G118" s="2" t="s">
        <v>15</v>
      </c>
      <c r="H118" s="8" t="s">
        <v>254</v>
      </c>
      <c r="I118" s="8" t="s">
        <v>274</v>
      </c>
      <c r="J118" s="10" t="str">
        <f>HYPERLINK("https://rotamaguswines.com/product/mission-haut-brion-1952-3/","https://rotamaguswines.com/product/mission-haut-brion-1952-3/")</f>
        <v>https://rotamaguswines.com/product/mission-haut-brion-1952-3/</v>
      </c>
      <c r="K118" s="8" t="s">
        <v>301</v>
      </c>
    </row>
    <row r="119" spans="1:11">
      <c r="A119" s="3" t="s">
        <v>297</v>
      </c>
      <c r="B119" s="5">
        <v>1952.0</v>
      </c>
      <c r="C119" s="3" t="s">
        <v>12</v>
      </c>
      <c r="D119" s="7">
        <v>1800.0</v>
      </c>
      <c r="E119" s="3" t="s">
        <v>298</v>
      </c>
      <c r="F119" s="3" t="s">
        <v>14</v>
      </c>
      <c r="G119" s="3" t="s">
        <v>15</v>
      </c>
      <c r="H119" s="9" t="s">
        <v>254</v>
      </c>
      <c r="I119" s="9" t="s">
        <v>274</v>
      </c>
      <c r="J119" s="11" t="str">
        <f>HYPERLINK("https://rotamaguswines.com/product/mission-haut-brion-1952-4/","https://rotamaguswines.com/product/mission-haut-brion-1952-4/")</f>
        <v>https://rotamaguswines.com/product/mission-haut-brion-1952-4/</v>
      </c>
      <c r="K119" s="9" t="s">
        <v>302</v>
      </c>
    </row>
    <row r="120" spans="1:11">
      <c r="A120" s="2" t="s">
        <v>303</v>
      </c>
      <c r="B120" s="4">
        <v>1952.0</v>
      </c>
      <c r="C120" s="2" t="s">
        <v>132</v>
      </c>
      <c r="D120" s="6">
        <v>4600.0</v>
      </c>
      <c r="E120" s="2" t="s">
        <v>304</v>
      </c>
      <c r="F120" s="2" t="s">
        <v>14</v>
      </c>
      <c r="G120" s="2" t="s">
        <v>15</v>
      </c>
      <c r="H120" s="8" t="s">
        <v>254</v>
      </c>
      <c r="I120" s="8" t="s">
        <v>274</v>
      </c>
      <c r="J120" s="10" t="str">
        <f>HYPERLINK("https://rotamaguswines.com/product/mission-haut-brion-1952-magnum/","https://rotamaguswines.com/product/mission-haut-brion-1952-magnum/")</f>
        <v>https://rotamaguswines.com/product/mission-haut-brion-1952-magnum/</v>
      </c>
      <c r="K120" s="8" t="s">
        <v>305</v>
      </c>
    </row>
    <row r="121" spans="1:11">
      <c r="A121" s="3" t="s">
        <v>306</v>
      </c>
      <c r="B121" s="5">
        <v>1953.0</v>
      </c>
      <c r="C121" s="3" t="s">
        <v>12</v>
      </c>
      <c r="D121" s="7">
        <v>2500.0</v>
      </c>
      <c r="E121" s="3" t="s">
        <v>307</v>
      </c>
      <c r="F121" s="3" t="s">
        <v>14</v>
      </c>
      <c r="G121" s="3" t="s">
        <v>15</v>
      </c>
      <c r="H121" s="9" t="s">
        <v>254</v>
      </c>
      <c r="I121" s="9" t="s">
        <v>274</v>
      </c>
      <c r="J121" s="11" t="str">
        <f>HYPERLINK("https://rotamaguswines.com/product/mission-haut-brion-1953/","https://rotamaguswines.com/product/mission-haut-brion-1953/")</f>
        <v>https://rotamaguswines.com/product/mission-haut-brion-1953/</v>
      </c>
      <c r="K121" s="9" t="s">
        <v>308</v>
      </c>
    </row>
    <row r="122" spans="1:11">
      <c r="A122" s="2" t="s">
        <v>306</v>
      </c>
      <c r="B122" s="4">
        <v>1953.0</v>
      </c>
      <c r="C122" s="2" t="s">
        <v>12</v>
      </c>
      <c r="D122" s="6">
        <v>837.0</v>
      </c>
      <c r="E122" s="2" t="s">
        <v>309</v>
      </c>
      <c r="F122" s="2" t="s">
        <v>14</v>
      </c>
      <c r="G122" s="2" t="s">
        <v>15</v>
      </c>
      <c r="H122" s="8" t="s">
        <v>254</v>
      </c>
      <c r="I122" s="8" t="s">
        <v>274</v>
      </c>
      <c r="J122" s="10" t="str">
        <f>HYPERLINK("https://rotamaguswines.com/product/mission-haut-brion-1953-2/","https://rotamaguswines.com/product/mission-haut-brion-1953-2/")</f>
        <v>https://rotamaguswines.com/product/mission-haut-brion-1953-2/</v>
      </c>
      <c r="K122" s="8" t="s">
        <v>310</v>
      </c>
    </row>
    <row r="123" spans="1:11">
      <c r="A123" s="3" t="s">
        <v>311</v>
      </c>
      <c r="B123" s="5">
        <v>1955.0</v>
      </c>
      <c r="C123" s="3" t="s">
        <v>12</v>
      </c>
      <c r="D123" s="7">
        <v>5500.0</v>
      </c>
      <c r="E123" s="3" t="s">
        <v>312</v>
      </c>
      <c r="F123" s="3" t="s">
        <v>14</v>
      </c>
      <c r="G123" s="3" t="s">
        <v>15</v>
      </c>
      <c r="H123" s="9" t="s">
        <v>254</v>
      </c>
      <c r="I123" s="9" t="s">
        <v>274</v>
      </c>
      <c r="J123" s="11" t="str">
        <f>HYPERLINK("https://rotamaguswines.com/product/mission-haut-brion-1955/","https://rotamaguswines.com/product/mission-haut-brion-1955/")</f>
        <v>https://rotamaguswines.com/product/mission-haut-brion-1955/</v>
      </c>
      <c r="K123" s="9" t="s">
        <v>313</v>
      </c>
    </row>
    <row r="124" spans="1:11">
      <c r="A124" s="2" t="s">
        <v>311</v>
      </c>
      <c r="B124" s="4">
        <v>1955.0</v>
      </c>
      <c r="C124" s="2" t="s">
        <v>12</v>
      </c>
      <c r="D124" s="6">
        <v>5500.0</v>
      </c>
      <c r="E124" s="2" t="s">
        <v>312</v>
      </c>
      <c r="F124" s="2" t="s">
        <v>14</v>
      </c>
      <c r="G124" s="2" t="s">
        <v>15</v>
      </c>
      <c r="H124" s="8" t="s">
        <v>254</v>
      </c>
      <c r="I124" s="8" t="s">
        <v>274</v>
      </c>
      <c r="J124" s="10" t="str">
        <f>HYPERLINK("https://rotamaguswines.com/product/mission-haut-brion-1955-2/","https://rotamaguswines.com/product/mission-haut-brion-1955-2/")</f>
        <v>https://rotamaguswines.com/product/mission-haut-brion-1955-2/</v>
      </c>
      <c r="K124" s="8" t="s">
        <v>314</v>
      </c>
    </row>
    <row r="125" spans="1:11">
      <c r="A125" s="3" t="s">
        <v>315</v>
      </c>
      <c r="B125" s="5">
        <v>1963.0</v>
      </c>
      <c r="C125" s="3" t="s">
        <v>132</v>
      </c>
      <c r="D125" s="7">
        <v>4800.0</v>
      </c>
      <c r="E125" s="3" t="s">
        <v>316</v>
      </c>
      <c r="F125" s="3" t="s">
        <v>14</v>
      </c>
      <c r="G125" s="3" t="s">
        <v>15</v>
      </c>
      <c r="H125" s="9" t="s">
        <v>254</v>
      </c>
      <c r="I125" s="9" t="s">
        <v>87</v>
      </c>
      <c r="J125" s="11" t="str">
        <f>HYPERLINK("https://rotamaguswines.com/product/mouton-rothschild-1963-magnum/","https://rotamaguswines.com/product/mouton-rothschild-1963-magnum/")</f>
        <v>https://rotamaguswines.com/product/mouton-rothschild-1963-magnum/</v>
      </c>
      <c r="K125" s="9" t="s">
        <v>317</v>
      </c>
    </row>
    <row r="126" spans="1:11">
      <c r="A126" s="2" t="s">
        <v>318</v>
      </c>
      <c r="B126" s="4">
        <v>1949.0</v>
      </c>
      <c r="C126" s="2" t="s">
        <v>12</v>
      </c>
      <c r="D126" s="6">
        <v>627.0</v>
      </c>
      <c r="E126" s="2" t="s">
        <v>319</v>
      </c>
      <c r="F126" s="2" t="s">
        <v>14</v>
      </c>
      <c r="G126" s="2" t="s">
        <v>15</v>
      </c>
      <c r="H126" s="8" t="s">
        <v>254</v>
      </c>
      <c r="I126" s="8" t="s">
        <v>320</v>
      </c>
      <c r="J126" s="10" t="str">
        <f>HYPERLINK("https://rotamaguswines.com/product/pape-clement-1949/","https://rotamaguswines.com/product/pape-clement-1949/")</f>
        <v>https://rotamaguswines.com/product/pape-clement-1949/</v>
      </c>
      <c r="K126" s="8" t="s">
        <v>321</v>
      </c>
    </row>
    <row r="127" spans="1:11">
      <c r="A127" s="3" t="s">
        <v>322</v>
      </c>
      <c r="B127" s="5">
        <v>1945.0</v>
      </c>
      <c r="C127" s="3" t="s">
        <v>12</v>
      </c>
      <c r="D127" s="7">
        <v>3500.0</v>
      </c>
      <c r="E127" s="3"/>
      <c r="F127" s="3" t="s">
        <v>14</v>
      </c>
      <c r="G127" s="3" t="s">
        <v>15</v>
      </c>
      <c r="H127" s="9" t="s">
        <v>323</v>
      </c>
      <c r="I127" s="9" t="s">
        <v>324</v>
      </c>
      <c r="J127" s="11" t="str">
        <f>HYPERLINK("https://rotamaguswines.com/product/trotanoy-1945/","https://rotamaguswines.com/product/trotanoy-1945/")</f>
        <v>https://rotamaguswines.com/product/trotanoy-1945/</v>
      </c>
      <c r="K127" s="9" t="s">
        <v>325</v>
      </c>
    </row>
    <row r="128" spans="1:11">
      <c r="A128" s="2" t="s">
        <v>326</v>
      </c>
      <c r="B128" s="4">
        <v>1945.0</v>
      </c>
      <c r="C128" s="2" t="s">
        <v>12</v>
      </c>
      <c r="D128" s="6">
        <v>3000.0</v>
      </c>
      <c r="E128" s="2" t="s">
        <v>327</v>
      </c>
      <c r="F128" s="2" t="s">
        <v>14</v>
      </c>
      <c r="G128" s="2" t="s">
        <v>15</v>
      </c>
      <c r="H128" s="8" t="s">
        <v>323</v>
      </c>
      <c r="I128" s="8" t="s">
        <v>328</v>
      </c>
      <c r="J128" s="10" t="str">
        <f>HYPERLINK("https://rotamaguswines.com/product/vieux-chateau-certan-1945/","https://rotamaguswines.com/product/vieux-chateau-certan-1945/")</f>
        <v>https://rotamaguswines.com/product/vieux-chateau-certan-1945/</v>
      </c>
      <c r="K128" s="8" t="s">
        <v>329</v>
      </c>
    </row>
    <row r="129" spans="1:11">
      <c r="A129" s="3" t="s">
        <v>330</v>
      </c>
      <c r="B129" s="5">
        <v>1947.0</v>
      </c>
      <c r="C129" s="3" t="s">
        <v>12</v>
      </c>
      <c r="D129" s="7">
        <v>3000.0</v>
      </c>
      <c r="E129" s="3" t="s">
        <v>331</v>
      </c>
      <c r="F129" s="3" t="s">
        <v>14</v>
      </c>
      <c r="G129" s="3" t="s">
        <v>15</v>
      </c>
      <c r="H129" s="9" t="s">
        <v>323</v>
      </c>
      <c r="I129" s="9" t="s">
        <v>328</v>
      </c>
      <c r="J129" s="11" t="str">
        <f>HYPERLINK("https://rotamaguswines.com/product/vieux-chateau-certan-1947/","https://rotamaguswines.com/product/vieux-chateau-certan-1947/")</f>
        <v>https://rotamaguswines.com/product/vieux-chateau-certan-1947/</v>
      </c>
      <c r="K129" s="9" t="s">
        <v>332</v>
      </c>
    </row>
    <row r="130" spans="1:11">
      <c r="A130" s="2" t="s">
        <v>330</v>
      </c>
      <c r="B130" s="4">
        <v>1947.0</v>
      </c>
      <c r="C130" s="2" t="s">
        <v>12</v>
      </c>
      <c r="D130" s="6">
        <v>4000.0</v>
      </c>
      <c r="E130" s="2" t="s">
        <v>333</v>
      </c>
      <c r="F130" s="2" t="s">
        <v>14</v>
      </c>
      <c r="G130" s="2" t="s">
        <v>15</v>
      </c>
      <c r="H130" s="8" t="s">
        <v>323</v>
      </c>
      <c r="I130" s="8" t="s">
        <v>334</v>
      </c>
      <c r="J130" s="10" t="str">
        <f>HYPERLINK("https://rotamaguswines.com/product/vieux-chateau-certan-1947-2/","https://rotamaguswines.com/product/vieux-chateau-certan-1947-2/")</f>
        <v>https://rotamaguswines.com/product/vieux-chateau-certan-1947-2/</v>
      </c>
      <c r="K130" s="8" t="s">
        <v>335</v>
      </c>
    </row>
    <row r="131" spans="1:11">
      <c r="A131" s="3" t="s">
        <v>336</v>
      </c>
      <c r="B131" s="5">
        <v>1953.0</v>
      </c>
      <c r="C131" s="3" t="s">
        <v>12</v>
      </c>
      <c r="D131" s="7">
        <v>1350.0</v>
      </c>
      <c r="E131" s="3" t="s">
        <v>337</v>
      </c>
      <c r="F131" s="3" t="s">
        <v>14</v>
      </c>
      <c r="G131" s="3" t="s">
        <v>15</v>
      </c>
      <c r="H131" s="9" t="s">
        <v>323</v>
      </c>
      <c r="I131" s="9" t="s">
        <v>328</v>
      </c>
      <c r="J131" s="11" t="str">
        <f>HYPERLINK("https://rotamaguswines.com/product/vieux-chateau-certan-1953/","https://rotamaguswines.com/product/vieux-chateau-certan-1953/")</f>
        <v>https://rotamaguswines.com/product/vieux-chateau-certan-1953/</v>
      </c>
      <c r="K131" s="9" t="s">
        <v>338</v>
      </c>
    </row>
    <row r="132" spans="1:11">
      <c r="A132" s="2" t="s">
        <v>339</v>
      </c>
      <c r="B132" s="4">
        <v>1959.0</v>
      </c>
      <c r="C132" s="2" t="s">
        <v>12</v>
      </c>
      <c r="D132" s="6">
        <v>1100.0</v>
      </c>
      <c r="E132" s="2" t="s">
        <v>340</v>
      </c>
      <c r="F132" s="2" t="s">
        <v>14</v>
      </c>
      <c r="G132" s="2" t="s">
        <v>15</v>
      </c>
      <c r="H132" s="8" t="s">
        <v>323</v>
      </c>
      <c r="I132" s="8" t="s">
        <v>328</v>
      </c>
      <c r="J132" s="10" t="str">
        <f>HYPERLINK("https://rotamaguswines.com/product/vieux-chateau-certan-1959/","https://rotamaguswines.com/product/vieux-chateau-certan-1959/")</f>
        <v>https://rotamaguswines.com/product/vieux-chateau-certan-1959/</v>
      </c>
      <c r="K132" s="8" t="s">
        <v>341</v>
      </c>
    </row>
    <row r="133" spans="1:11">
      <c r="A133" s="3" t="s">
        <v>339</v>
      </c>
      <c r="B133" s="5">
        <v>1959.0</v>
      </c>
      <c r="C133" s="3" t="s">
        <v>12</v>
      </c>
      <c r="D133" s="7">
        <v>1100.0</v>
      </c>
      <c r="E133" s="3" t="s">
        <v>340</v>
      </c>
      <c r="F133" s="3" t="s">
        <v>14</v>
      </c>
      <c r="G133" s="3" t="s">
        <v>15</v>
      </c>
      <c r="H133" s="9" t="s">
        <v>323</v>
      </c>
      <c r="I133" s="9" t="s">
        <v>328</v>
      </c>
      <c r="J133" s="11" t="str">
        <f>HYPERLINK("https://rotamaguswines.com/product/vieux-chateau-certan-1959-2/","https://rotamaguswines.com/product/vieux-chateau-certan-1959-2/")</f>
        <v>https://rotamaguswines.com/product/vieux-chateau-certan-1959-2/</v>
      </c>
      <c r="K133" s="9" t="s">
        <v>342</v>
      </c>
    </row>
    <row r="134" spans="1:11">
      <c r="A134" s="2" t="s">
        <v>343</v>
      </c>
      <c r="B134" s="4">
        <v>1959.0</v>
      </c>
      <c r="C134" s="2" t="s">
        <v>132</v>
      </c>
      <c r="D134" s="6">
        <v>2950.0</v>
      </c>
      <c r="E134" s="2" t="s">
        <v>344</v>
      </c>
      <c r="F134" s="2" t="s">
        <v>14</v>
      </c>
      <c r="G134" s="2" t="s">
        <v>15</v>
      </c>
      <c r="H134" s="8" t="s">
        <v>323</v>
      </c>
      <c r="I134" s="8" t="s">
        <v>328</v>
      </c>
      <c r="J134" s="10" t="str">
        <f>HYPERLINK("https://rotamaguswines.com/product/vieux-chateau-certan-1959-magnum/","https://rotamaguswines.com/product/vieux-chateau-certan-1959-magnum/")</f>
        <v>https://rotamaguswines.com/product/vieux-chateau-certan-1959-magnum/</v>
      </c>
      <c r="K134" s="8" t="s">
        <v>345</v>
      </c>
    </row>
    <row r="135" spans="1:11">
      <c r="A135" s="3" t="s">
        <v>346</v>
      </c>
      <c r="B135" s="5">
        <v>1962.0</v>
      </c>
      <c r="C135" s="3" t="s">
        <v>132</v>
      </c>
      <c r="D135" s="7">
        <v>1500.0</v>
      </c>
      <c r="E135" s="3" t="s">
        <v>347</v>
      </c>
      <c r="F135" s="3" t="s">
        <v>14</v>
      </c>
      <c r="G135" s="3" t="s">
        <v>15</v>
      </c>
      <c r="H135" s="9" t="s">
        <v>323</v>
      </c>
      <c r="I135" s="9" t="s">
        <v>328</v>
      </c>
      <c r="J135" s="11" t="str">
        <f>HYPERLINK("https://rotamaguswines.com/product/vieux-chateau-certan-1962-magnum/","https://rotamaguswines.com/product/vieux-chateau-certan-1962-magnum/")</f>
        <v>https://rotamaguswines.com/product/vieux-chateau-certan-1962-magnum/</v>
      </c>
      <c r="K135" s="9" t="s">
        <v>348</v>
      </c>
    </row>
    <row r="136" spans="1:11">
      <c r="A136" s="2" t="s">
        <v>349</v>
      </c>
      <c r="B136" s="4">
        <v>1950.0</v>
      </c>
      <c r="C136" s="2" t="s">
        <v>12</v>
      </c>
      <c r="D136" s="6">
        <v>1150.0</v>
      </c>
      <c r="E136" s="2" t="s">
        <v>350</v>
      </c>
      <c r="F136" s="2" t="s">
        <v>14</v>
      </c>
      <c r="G136" s="2" t="s">
        <v>15</v>
      </c>
      <c r="H136" s="8" t="s">
        <v>351</v>
      </c>
      <c r="I136" s="8" t="s">
        <v>352</v>
      </c>
      <c r="J136" s="10" t="str">
        <f>HYPERLINK("https://rotamaguswines.com/product/ausone-1950/","https://rotamaguswines.com/product/ausone-1950/")</f>
        <v>https://rotamaguswines.com/product/ausone-1950/</v>
      </c>
      <c r="K136" s="8" t="s">
        <v>353</v>
      </c>
    </row>
    <row r="137" spans="1:11">
      <c r="A137" s="3" t="s">
        <v>349</v>
      </c>
      <c r="B137" s="5">
        <v>1950.0</v>
      </c>
      <c r="C137" s="3" t="s">
        <v>12</v>
      </c>
      <c r="D137" s="7">
        <v>1150.0</v>
      </c>
      <c r="E137" s="3" t="s">
        <v>350</v>
      </c>
      <c r="F137" s="3" t="s">
        <v>14</v>
      </c>
      <c r="G137" s="3" t="s">
        <v>15</v>
      </c>
      <c r="H137" s="9" t="s">
        <v>351</v>
      </c>
      <c r="I137" s="9" t="s">
        <v>352</v>
      </c>
      <c r="J137" s="11" t="str">
        <f>HYPERLINK("https://rotamaguswines.com/product/ausone-1950-2/","https://rotamaguswines.com/product/ausone-1950-2/")</f>
        <v>https://rotamaguswines.com/product/ausone-1950-2/</v>
      </c>
      <c r="K137" s="9" t="s">
        <v>354</v>
      </c>
    </row>
    <row r="138" spans="1:11">
      <c r="A138" s="2" t="s">
        <v>355</v>
      </c>
      <c r="B138" s="4">
        <v>1961.0</v>
      </c>
      <c r="C138" s="2" t="s">
        <v>12</v>
      </c>
      <c r="D138" s="6">
        <v>1050.0</v>
      </c>
      <c r="E138" s="2" t="s">
        <v>356</v>
      </c>
      <c r="F138" s="2" t="s">
        <v>14</v>
      </c>
      <c r="G138" s="2" t="s">
        <v>15</v>
      </c>
      <c r="H138" s="8" t="s">
        <v>351</v>
      </c>
      <c r="I138" s="8" t="s">
        <v>352</v>
      </c>
      <c r="J138" s="10" t="str">
        <f>HYPERLINK("https://rotamaguswines.com/product/ausone-1961/","https://rotamaguswines.com/product/ausone-1961/")</f>
        <v>https://rotamaguswines.com/product/ausone-1961/</v>
      </c>
      <c r="K138" s="8" t="s">
        <v>357</v>
      </c>
    </row>
    <row r="139" spans="1:11">
      <c r="A139" s="3" t="s">
        <v>358</v>
      </c>
      <c r="B139" s="5">
        <v>1953.0</v>
      </c>
      <c r="C139" s="3" t="s">
        <v>12</v>
      </c>
      <c r="D139" s="7">
        <v>3000.0</v>
      </c>
      <c r="E139" s="3" t="s">
        <v>359</v>
      </c>
      <c r="F139" s="3" t="s">
        <v>14</v>
      </c>
      <c r="G139" s="3" t="s">
        <v>15</v>
      </c>
      <c r="H139" s="9" t="s">
        <v>351</v>
      </c>
      <c r="I139" s="9" t="s">
        <v>360</v>
      </c>
      <c r="J139" s="11" t="str">
        <f>HYPERLINK("https://rotamaguswines.com/product/cheval-blanc-1953/","https://rotamaguswines.com/product/cheval-blanc-1953/")</f>
        <v>https://rotamaguswines.com/product/cheval-blanc-1953/</v>
      </c>
      <c r="K139" s="9" t="s">
        <v>361</v>
      </c>
    </row>
    <row r="140" spans="1:11">
      <c r="A140" s="2" t="s">
        <v>362</v>
      </c>
      <c r="B140" s="4">
        <v>1962.0</v>
      </c>
      <c r="C140" s="2" t="s">
        <v>132</v>
      </c>
      <c r="D140" s="6">
        <v>2600.0</v>
      </c>
      <c r="E140" s="2" t="s">
        <v>363</v>
      </c>
      <c r="F140" s="2" t="s">
        <v>14</v>
      </c>
      <c r="G140" s="2" t="s">
        <v>15</v>
      </c>
      <c r="H140" s="8" t="s">
        <v>351</v>
      </c>
      <c r="I140" s="8" t="s">
        <v>360</v>
      </c>
      <c r="J140" s="10" t="str">
        <f>HYPERLINK("https://rotamaguswines.com/product/cheval-blanc-1962-magnum/","https://rotamaguswines.com/product/cheval-blanc-1962-magnum/")</f>
        <v>https://rotamaguswines.com/product/cheval-blanc-1962-magnum/</v>
      </c>
      <c r="K140" s="8" t="s">
        <v>364</v>
      </c>
    </row>
    <row r="141" spans="1:11">
      <c r="A141" s="3" t="s">
        <v>365</v>
      </c>
      <c r="B141" s="5">
        <v>1918.0</v>
      </c>
      <c r="C141" s="3" t="s">
        <v>12</v>
      </c>
      <c r="D141" s="7">
        <v>1120.0</v>
      </c>
      <c r="E141" s="3" t="s">
        <v>366</v>
      </c>
      <c r="F141" s="3" t="s">
        <v>14</v>
      </c>
      <c r="G141" s="3" t="s">
        <v>15</v>
      </c>
      <c r="H141" s="9" t="s">
        <v>367</v>
      </c>
      <c r="I141" s="9" t="s">
        <v>368</v>
      </c>
      <c r="J141" s="11" t="str">
        <f>HYPERLINK("https://rotamaguswines.com/product/cos-destournel-1918/","https://rotamaguswines.com/product/cos-destournel-1918/")</f>
        <v>https://rotamaguswines.com/product/cos-destournel-1918/</v>
      </c>
      <c r="K141" s="9" t="s">
        <v>369</v>
      </c>
    </row>
    <row r="142" spans="1:11">
      <c r="A142" s="2" t="s">
        <v>365</v>
      </c>
      <c r="B142" s="4">
        <v>1918.0</v>
      </c>
      <c r="C142" s="2" t="s">
        <v>12</v>
      </c>
      <c r="D142" s="6">
        <v>1120.0</v>
      </c>
      <c r="E142" s="2" t="s">
        <v>366</v>
      </c>
      <c r="F142" s="2" t="s">
        <v>14</v>
      </c>
      <c r="G142" s="2" t="s">
        <v>15</v>
      </c>
      <c r="H142" s="8" t="s">
        <v>367</v>
      </c>
      <c r="I142" s="8" t="s">
        <v>368</v>
      </c>
      <c r="J142" s="10" t="str">
        <f>HYPERLINK("https://rotamaguswines.com/product/cos-destournel-1918-2/","https://rotamaguswines.com/product/cos-destournel-1918-2/")</f>
        <v>https://rotamaguswines.com/product/cos-destournel-1918-2/</v>
      </c>
      <c r="K142" s="8" t="s">
        <v>370</v>
      </c>
    </row>
    <row r="143" spans="1:11">
      <c r="A143" s="3" t="s">
        <v>365</v>
      </c>
      <c r="B143" s="5">
        <v>1918.0</v>
      </c>
      <c r="C143" s="3" t="s">
        <v>12</v>
      </c>
      <c r="D143" s="7">
        <v>1120.0</v>
      </c>
      <c r="E143" s="3" t="s">
        <v>366</v>
      </c>
      <c r="F143" s="3" t="s">
        <v>14</v>
      </c>
      <c r="G143" s="3" t="s">
        <v>15</v>
      </c>
      <c r="H143" s="9" t="s">
        <v>367</v>
      </c>
      <c r="I143" s="9" t="s">
        <v>368</v>
      </c>
      <c r="J143" s="11" t="str">
        <f>HYPERLINK("https://rotamaguswines.com/product/cos-destournel-1918-3/","https://rotamaguswines.com/product/cos-destournel-1918-3/")</f>
        <v>https://rotamaguswines.com/product/cos-destournel-1918-3/</v>
      </c>
      <c r="K143" s="9" t="s">
        <v>371</v>
      </c>
    </row>
    <row r="144" spans="1:11">
      <c r="A144" s="2" t="s">
        <v>365</v>
      </c>
      <c r="B144" s="4">
        <v>1918.0</v>
      </c>
      <c r="C144" s="2" t="s">
        <v>12</v>
      </c>
      <c r="D144" s="6">
        <v>1120.0</v>
      </c>
      <c r="E144" s="2" t="s">
        <v>366</v>
      </c>
      <c r="F144" s="2" t="s">
        <v>14</v>
      </c>
      <c r="G144" s="2" t="s">
        <v>15</v>
      </c>
      <c r="H144" s="8" t="s">
        <v>367</v>
      </c>
      <c r="I144" s="8" t="s">
        <v>368</v>
      </c>
      <c r="J144" s="10" t="str">
        <f>HYPERLINK("https://rotamaguswines.com/product/cos-destournel-1918-4/","https://rotamaguswines.com/product/cos-destournel-1918-4/")</f>
        <v>https://rotamaguswines.com/product/cos-destournel-1918-4/</v>
      </c>
      <c r="K144" s="8" t="s">
        <v>372</v>
      </c>
    </row>
    <row r="145" spans="1:11">
      <c r="A145" s="3" t="s">
        <v>365</v>
      </c>
      <c r="B145" s="5">
        <v>1918.0</v>
      </c>
      <c r="C145" s="3" t="s">
        <v>12</v>
      </c>
      <c r="D145" s="7">
        <v>1120.0</v>
      </c>
      <c r="E145" s="3" t="s">
        <v>366</v>
      </c>
      <c r="F145" s="3" t="s">
        <v>14</v>
      </c>
      <c r="G145" s="3" t="s">
        <v>15</v>
      </c>
      <c r="H145" s="9" t="s">
        <v>367</v>
      </c>
      <c r="I145" s="9" t="s">
        <v>368</v>
      </c>
      <c r="J145" s="11" t="str">
        <f>HYPERLINK("https://rotamaguswines.com/product/cos-destournel-1918-5/","https://rotamaguswines.com/product/cos-destournel-1918-5/")</f>
        <v>https://rotamaguswines.com/product/cos-destournel-1918-5/</v>
      </c>
      <c r="K145" s="9" t="s">
        <v>373</v>
      </c>
    </row>
    <row r="146" spans="1:11">
      <c r="A146" s="2" t="s">
        <v>365</v>
      </c>
      <c r="B146" s="4">
        <v>1918.0</v>
      </c>
      <c r="C146" s="2" t="s">
        <v>12</v>
      </c>
      <c r="D146" s="6">
        <v>1120.0</v>
      </c>
      <c r="E146" s="2" t="s">
        <v>366</v>
      </c>
      <c r="F146" s="2" t="s">
        <v>14</v>
      </c>
      <c r="G146" s="2" t="s">
        <v>15</v>
      </c>
      <c r="H146" s="8" t="s">
        <v>367</v>
      </c>
      <c r="I146" s="8" t="s">
        <v>368</v>
      </c>
      <c r="J146" s="10" t="str">
        <f>HYPERLINK("https://rotamaguswines.com/product/cos-destournel-1918-6/","https://rotamaguswines.com/product/cos-destournel-1918-6/")</f>
        <v>https://rotamaguswines.com/product/cos-destournel-1918-6/</v>
      </c>
      <c r="K146" s="8" t="s">
        <v>374</v>
      </c>
    </row>
    <row r="147" spans="1:11">
      <c r="A147" s="3" t="s">
        <v>375</v>
      </c>
      <c r="B147" s="5">
        <v>1949.0</v>
      </c>
      <c r="C147" s="3" t="s">
        <v>27</v>
      </c>
      <c r="D147" s="7">
        <v>7500.0</v>
      </c>
      <c r="E147" s="3" t="s">
        <v>376</v>
      </c>
      <c r="F147" s="3" t="s">
        <v>14</v>
      </c>
      <c r="G147" s="3" t="s">
        <v>15</v>
      </c>
      <c r="H147" s="9" t="s">
        <v>377</v>
      </c>
      <c r="I147" s="9" t="s">
        <v>378</v>
      </c>
      <c r="J147" s="11" t="str">
        <f>HYPERLINK("https://rotamaguswines.com/product/6-bottles-gruaud-larose-1949/","https://rotamaguswines.com/product/6-bottles-gruaud-larose-1949/")</f>
        <v>https://rotamaguswines.com/product/6-bottles-gruaud-larose-1949/</v>
      </c>
      <c r="K147" s="9" t="s">
        <v>379</v>
      </c>
    </row>
    <row r="148" spans="1:11">
      <c r="A148" s="2" t="s">
        <v>380</v>
      </c>
      <c r="B148" s="4">
        <v>1929.0</v>
      </c>
      <c r="C148" s="2" t="s">
        <v>12</v>
      </c>
      <c r="D148" s="6">
        <v>2500.0</v>
      </c>
      <c r="E148" s="2" t="s">
        <v>381</v>
      </c>
      <c r="F148" s="2" t="s">
        <v>14</v>
      </c>
      <c r="G148" s="2" t="s">
        <v>15</v>
      </c>
      <c r="H148" s="8" t="s">
        <v>377</v>
      </c>
      <c r="I148" s="8" t="s">
        <v>378</v>
      </c>
      <c r="J148" s="10" t="str">
        <f>HYPERLINK("https://rotamaguswines.com/product/gruaud-larose-1929/","https://rotamaguswines.com/product/gruaud-larose-1929/")</f>
        <v>https://rotamaguswines.com/product/gruaud-larose-1929/</v>
      </c>
      <c r="K148" s="8" t="s">
        <v>382</v>
      </c>
    </row>
    <row r="149" spans="1:11">
      <c r="A149" s="3" t="s">
        <v>383</v>
      </c>
      <c r="B149" s="5">
        <v>1934.0</v>
      </c>
      <c r="C149" s="3" t="s">
        <v>12</v>
      </c>
      <c r="D149" s="7">
        <v>837.0</v>
      </c>
      <c r="E149" s="3" t="s">
        <v>384</v>
      </c>
      <c r="F149" s="3" t="s">
        <v>14</v>
      </c>
      <c r="G149" s="3" t="s">
        <v>15</v>
      </c>
      <c r="H149" s="9" t="s">
        <v>377</v>
      </c>
      <c r="I149" s="9" t="s">
        <v>378</v>
      </c>
      <c r="J149" s="11" t="str">
        <f>HYPERLINK("https://rotamaguswines.com/product/gruaud-larose-1934/","https://rotamaguswines.com/product/gruaud-larose-1934/")</f>
        <v>https://rotamaguswines.com/product/gruaud-larose-1934/</v>
      </c>
      <c r="K149" s="9" t="s">
        <v>385</v>
      </c>
    </row>
    <row r="150" spans="1:11">
      <c r="A150" s="2" t="s">
        <v>386</v>
      </c>
      <c r="B150" s="4">
        <v>1950.0</v>
      </c>
      <c r="C150" s="2" t="s">
        <v>12</v>
      </c>
      <c r="D150" s="6">
        <v>537.0</v>
      </c>
      <c r="E150" s="2" t="s">
        <v>387</v>
      </c>
      <c r="F150" s="2" t="s">
        <v>14</v>
      </c>
      <c r="G150" s="2" t="s">
        <v>15</v>
      </c>
      <c r="H150" s="8" t="s">
        <v>377</v>
      </c>
      <c r="I150" s="8" t="s">
        <v>378</v>
      </c>
      <c r="J150" s="10" t="str">
        <f>HYPERLINK("https://rotamaguswines.com/product/gruaud-larose-1950/","https://rotamaguswines.com/product/gruaud-larose-1950/")</f>
        <v>https://rotamaguswines.com/product/gruaud-larose-1950/</v>
      </c>
      <c r="K150" s="8" t="s">
        <v>388</v>
      </c>
    </row>
    <row r="151" spans="1:11">
      <c r="A151" s="3" t="s">
        <v>389</v>
      </c>
      <c r="B151" s="5">
        <v>1953.0</v>
      </c>
      <c r="C151" s="3" t="s">
        <v>12</v>
      </c>
      <c r="D151" s="7">
        <v>587.0</v>
      </c>
      <c r="E151" s="3" t="s">
        <v>390</v>
      </c>
      <c r="F151" s="3" t="s">
        <v>14</v>
      </c>
      <c r="G151" s="3" t="s">
        <v>15</v>
      </c>
      <c r="H151" s="9" t="s">
        <v>377</v>
      </c>
      <c r="I151" s="9" t="s">
        <v>378</v>
      </c>
      <c r="J151" s="11" t="str">
        <f>HYPERLINK("https://rotamaguswines.com/product/gruaud-larose-1953/","https://rotamaguswines.com/product/gruaud-larose-1953/")</f>
        <v>https://rotamaguswines.com/product/gruaud-larose-1953/</v>
      </c>
      <c r="K151" s="9" t="s">
        <v>391</v>
      </c>
    </row>
    <row r="152" spans="1:11">
      <c r="A152" s="2" t="s">
        <v>392</v>
      </c>
      <c r="B152" s="4">
        <v>1961.0</v>
      </c>
      <c r="C152" s="2" t="s">
        <v>12</v>
      </c>
      <c r="D152" s="6">
        <v>637.0</v>
      </c>
      <c r="E152" s="2" t="s">
        <v>393</v>
      </c>
      <c r="F152" s="2" t="s">
        <v>14</v>
      </c>
      <c r="G152" s="2" t="s">
        <v>15</v>
      </c>
      <c r="H152" s="8" t="s">
        <v>377</v>
      </c>
      <c r="I152" s="8" t="s">
        <v>378</v>
      </c>
      <c r="J152" s="10" t="str">
        <f>HYPERLINK("https://rotamaguswines.com/product/gruaud-larose-1961/","https://rotamaguswines.com/product/gruaud-larose-1961/")</f>
        <v>https://rotamaguswines.com/product/gruaud-larose-1961/</v>
      </c>
      <c r="K152" s="8" t="s">
        <v>394</v>
      </c>
    </row>
    <row r="153" spans="1:11">
      <c r="A153" s="3" t="s">
        <v>395</v>
      </c>
      <c r="B153" s="5">
        <v>1961.0</v>
      </c>
      <c r="C153" s="3" t="s">
        <v>12</v>
      </c>
      <c r="D153" s="7">
        <v>687.0</v>
      </c>
      <c r="E153" s="3" t="s">
        <v>396</v>
      </c>
      <c r="F153" s="3" t="s">
        <v>14</v>
      </c>
      <c r="G153" s="3" t="s">
        <v>15</v>
      </c>
      <c r="H153" s="9" t="s">
        <v>377</v>
      </c>
      <c r="I153" s="9" t="s">
        <v>397</v>
      </c>
      <c r="J153" s="11" t="str">
        <f>HYPERLINK("https://rotamaguswines.com/product/leoville-las-cases-1961/","https://rotamaguswines.com/product/leoville-las-cases-1961/")</f>
        <v>https://rotamaguswines.com/product/leoville-las-cases-1961/</v>
      </c>
      <c r="K153" s="9" t="s">
        <v>398</v>
      </c>
    </row>
    <row r="154" spans="1:11">
      <c r="A154" s="2" t="s">
        <v>395</v>
      </c>
      <c r="B154" s="4">
        <v>1961.0</v>
      </c>
      <c r="C154" s="2" t="s">
        <v>12</v>
      </c>
      <c r="D154" s="6">
        <v>687.0</v>
      </c>
      <c r="E154" s="2" t="s">
        <v>399</v>
      </c>
      <c r="F154" s="2" t="s">
        <v>14</v>
      </c>
      <c r="G154" s="2" t="s">
        <v>15</v>
      </c>
      <c r="H154" s="8" t="s">
        <v>377</v>
      </c>
      <c r="I154" s="8" t="s">
        <v>400</v>
      </c>
      <c r="J154" s="10" t="str">
        <f>HYPERLINK("https://rotamaguswines.com/product/leoville-las-cases-1961-2/","https://rotamaguswines.com/product/leoville-las-cases-1961-2/")</f>
        <v>https://rotamaguswines.com/product/leoville-las-cases-1961-2/</v>
      </c>
      <c r="K154" s="8" t="s">
        <v>401</v>
      </c>
    </row>
    <row r="155" spans="1:11">
      <c r="A155" s="3" t="s">
        <v>402</v>
      </c>
      <c r="B155" s="5">
        <v>1966.0</v>
      </c>
      <c r="C155" s="3" t="s">
        <v>12</v>
      </c>
      <c r="D155" s="7">
        <v>897.0</v>
      </c>
      <c r="E155" s="3" t="s">
        <v>403</v>
      </c>
      <c r="F155" s="3" t="s">
        <v>14</v>
      </c>
      <c r="G155" s="3" t="s">
        <v>404</v>
      </c>
      <c r="H155" s="9" t="s">
        <v>405</v>
      </c>
      <c r="I155" s="9" t="s">
        <v>406</v>
      </c>
      <c r="J155" s="11" t="str">
        <f>HYPERLINK("https://rotamaguswines.com/product/bonnes-mares-faiveley-1966/","https://rotamaguswines.com/product/bonnes-mares-faiveley-1966/")</f>
        <v>https://rotamaguswines.com/product/bonnes-mares-faiveley-1966/</v>
      </c>
      <c r="K155" s="9" t="s">
        <v>407</v>
      </c>
    </row>
    <row r="156" spans="1:11">
      <c r="A156" s="2" t="s">
        <v>408</v>
      </c>
      <c r="B156" s="4">
        <v>1988.0</v>
      </c>
      <c r="C156" s="2" t="s">
        <v>12</v>
      </c>
      <c r="D156" s="6">
        <v>6000.0</v>
      </c>
      <c r="E156" s="2" t="s">
        <v>409</v>
      </c>
      <c r="F156" s="2" t="s">
        <v>14</v>
      </c>
      <c r="G156" s="2" t="s">
        <v>404</v>
      </c>
      <c r="H156" s="8" t="s">
        <v>405</v>
      </c>
      <c r="I156" s="8" t="s">
        <v>410</v>
      </c>
      <c r="J156" s="10" t="str">
        <f>HYPERLINK("https://rotamaguswines.com/product/bonnes-mares-vieilles-vignes-roumier-1988/","https://rotamaguswines.com/product/bonnes-mares-vieilles-vignes-roumier-1988/")</f>
        <v>https://rotamaguswines.com/product/bonnes-mares-vieilles-vignes-roumier-1988/</v>
      </c>
      <c r="K156" s="8" t="s">
        <v>411</v>
      </c>
    </row>
    <row r="157" spans="1:11">
      <c r="A157" s="3" t="s">
        <v>412</v>
      </c>
      <c r="B157" s="5">
        <v>1980.0</v>
      </c>
      <c r="C157" s="3" t="s">
        <v>12</v>
      </c>
      <c r="D157" s="7">
        <v>4500.0</v>
      </c>
      <c r="E157" s="3" t="s">
        <v>413</v>
      </c>
      <c r="F157" s="3" t="s">
        <v>14</v>
      </c>
      <c r="G157" s="3" t="s">
        <v>404</v>
      </c>
      <c r="H157" s="9" t="s">
        <v>414</v>
      </c>
      <c r="I157" s="9" t="s">
        <v>415</v>
      </c>
      <c r="J157" s="11" t="str">
        <f>HYPERLINK("https://rotamaguswines.com/product/chambertin-rousseau-1980/","https://rotamaguswines.com/product/chambertin-rousseau-1980/")</f>
        <v>https://rotamaguswines.com/product/chambertin-rousseau-1980/</v>
      </c>
      <c r="K157" s="9" t="s">
        <v>416</v>
      </c>
    </row>
    <row r="158" spans="1:11">
      <c r="A158" s="2" t="s">
        <v>417</v>
      </c>
      <c r="B158" s="4">
        <v>1980.0</v>
      </c>
      <c r="C158" s="2" t="s">
        <v>12</v>
      </c>
      <c r="D158" s="6">
        <v>2240.0</v>
      </c>
      <c r="E158" s="2" t="s">
        <v>418</v>
      </c>
      <c r="F158" s="2" t="s">
        <v>14</v>
      </c>
      <c r="G158" s="2" t="s">
        <v>404</v>
      </c>
      <c r="H158" s="8" t="s">
        <v>419</v>
      </c>
      <c r="I158" s="8" t="s">
        <v>415</v>
      </c>
      <c r="J158" s="10" t="str">
        <f>HYPERLINK("https://rotamaguswines.com/product/clos-de-la-roche-rousseau-1980/","https://rotamaguswines.com/product/clos-de-la-roche-rousseau-1980/")</f>
        <v>https://rotamaguswines.com/product/clos-de-la-roche-rousseau-1980/</v>
      </c>
      <c r="K158" s="8" t="s">
        <v>420</v>
      </c>
    </row>
    <row r="159" spans="1:11">
      <c r="A159" s="3" t="s">
        <v>421</v>
      </c>
      <c r="B159" s="5">
        <v>1969.0</v>
      </c>
      <c r="C159" s="3" t="s">
        <v>12</v>
      </c>
      <c r="D159" s="7">
        <v>1600.0</v>
      </c>
      <c r="E159" s="3" t="s">
        <v>422</v>
      </c>
      <c r="F159" s="3" t="s">
        <v>14</v>
      </c>
      <c r="G159" s="3" t="s">
        <v>404</v>
      </c>
      <c r="H159" s="9" t="s">
        <v>423</v>
      </c>
      <c r="I159" s="9" t="s">
        <v>424</v>
      </c>
      <c r="J159" s="11" t="str">
        <f>HYPERLINK("https://rotamaguswines.com/product/echezeaux-leroy-1969/","https://rotamaguswines.com/product/echezeaux-leroy-1969/")</f>
        <v>https://rotamaguswines.com/product/echezeaux-leroy-1969/</v>
      </c>
      <c r="K159" s="9" t="s">
        <v>425</v>
      </c>
    </row>
    <row r="160" spans="1:11">
      <c r="A160" s="2" t="s">
        <v>426</v>
      </c>
      <c r="B160" s="4">
        <v>1966.0</v>
      </c>
      <c r="C160" s="2" t="s">
        <v>12</v>
      </c>
      <c r="D160" s="6">
        <v>2000.0</v>
      </c>
      <c r="E160" s="2" t="s">
        <v>427</v>
      </c>
      <c r="F160" s="2" t="s">
        <v>14</v>
      </c>
      <c r="G160" s="2" t="s">
        <v>404</v>
      </c>
      <c r="H160" s="8" t="s">
        <v>428</v>
      </c>
      <c r="I160" s="8" t="s">
        <v>429</v>
      </c>
      <c r="J160" s="10" t="str">
        <f>HYPERLINK("https://rotamaguswines.com/product/musigny-vv-de-vogue-1966/","https://rotamaguswines.com/product/musigny-vv-de-vogue-1966/")</f>
        <v>https://rotamaguswines.com/product/musigny-vv-de-vogue-1966/</v>
      </c>
      <c r="K160" s="8" t="s">
        <v>430</v>
      </c>
    </row>
    <row r="161" spans="1:11">
      <c r="A161" s="3" t="s">
        <v>431</v>
      </c>
      <c r="B161" s="5">
        <v>1966.0</v>
      </c>
      <c r="C161" s="3" t="s">
        <v>12</v>
      </c>
      <c r="D161" s="7">
        <v>2840.0</v>
      </c>
      <c r="E161" s="3" t="s">
        <v>432</v>
      </c>
      <c r="F161" s="3" t="s">
        <v>14</v>
      </c>
      <c r="G161" s="3" t="s">
        <v>404</v>
      </c>
      <c r="H161" s="9" t="s">
        <v>433</v>
      </c>
      <c r="I161" s="9" t="s">
        <v>434</v>
      </c>
      <c r="J161" s="11" t="str">
        <f>HYPERLINK("https://rotamaguswines.com/product/drc-richebourg-1966/","https://rotamaguswines.com/product/drc-richebourg-1966/")</f>
        <v>https://rotamaguswines.com/product/drc-richebourg-1966/</v>
      </c>
      <c r="K161" s="9" t="s">
        <v>435</v>
      </c>
    </row>
    <row r="162" spans="1:11">
      <c r="A162" s="2" t="s">
        <v>436</v>
      </c>
      <c r="B162" s="4">
        <v>1980.0</v>
      </c>
      <c r="C162" s="2" t="s">
        <v>12</v>
      </c>
      <c r="D162" s="6">
        <v>2200.0</v>
      </c>
      <c r="E162" s="2" t="s">
        <v>437</v>
      </c>
      <c r="F162" s="2" t="s">
        <v>14</v>
      </c>
      <c r="G162" s="2" t="s">
        <v>404</v>
      </c>
      <c r="H162" s="8" t="s">
        <v>438</v>
      </c>
      <c r="I162" s="8" t="s">
        <v>415</v>
      </c>
      <c r="J162" s="10" t="str">
        <f>HYPERLINK("https://rotamaguswines.com/product/ruchottes-chambertin-rousseau-1980/","https://rotamaguswines.com/product/ruchottes-chambertin-rousseau-1980/")</f>
        <v>https://rotamaguswines.com/product/ruchottes-chambertin-rousseau-1980/</v>
      </c>
      <c r="K162" s="8" t="s">
        <v>439</v>
      </c>
    </row>
    <row r="163" spans="1:11">
      <c r="A163" s="3" t="s">
        <v>436</v>
      </c>
      <c r="B163" s="5">
        <v>1980.0</v>
      </c>
      <c r="C163" s="3" t="s">
        <v>12</v>
      </c>
      <c r="D163" s="7">
        <v>2200.0</v>
      </c>
      <c r="E163" s="3" t="s">
        <v>437</v>
      </c>
      <c r="F163" s="3" t="s">
        <v>14</v>
      </c>
      <c r="G163" s="3" t="s">
        <v>404</v>
      </c>
      <c r="H163" s="9" t="s">
        <v>438</v>
      </c>
      <c r="I163" s="9" t="s">
        <v>415</v>
      </c>
      <c r="J163" s="11" t="str">
        <f>HYPERLINK("https://rotamaguswines.com/product/ruchottes-chambertin-rousseau-1980-2/","https://rotamaguswines.com/product/ruchottes-chambertin-rousseau-1980-2/")</f>
        <v>https://rotamaguswines.com/product/ruchottes-chambertin-rousseau-1980-2/</v>
      </c>
      <c r="K163" s="9" t="s">
        <v>440</v>
      </c>
    </row>
    <row r="164" spans="1:11">
      <c r="A164" s="2" t="s">
        <v>441</v>
      </c>
      <c r="B164" s="4">
        <v>1999.0</v>
      </c>
      <c r="C164" s="2" t="s">
        <v>12</v>
      </c>
      <c r="D164" s="6">
        <v>377.0</v>
      </c>
      <c r="E164" s="2" t="s">
        <v>442</v>
      </c>
      <c r="F164" s="2" t="s">
        <v>14</v>
      </c>
      <c r="G164" s="2" t="s">
        <v>404</v>
      </c>
      <c r="H164" s="8" t="s">
        <v>443</v>
      </c>
      <c r="I164" s="8" t="s">
        <v>444</v>
      </c>
      <c r="J164" s="10" t="str">
        <f>HYPERLINK("https://rotamaguswines.com/product/volnay-clos-des-ducs-marquis-dangerville-1999/","https://rotamaguswines.com/product/volnay-clos-des-ducs-marquis-dangerville-1999/")</f>
        <v>https://rotamaguswines.com/product/volnay-clos-des-ducs-marquis-dangerville-1999/</v>
      </c>
      <c r="K164" s="8" t="s">
        <v>445</v>
      </c>
    </row>
    <row r="165" spans="1:11">
      <c r="A165" s="3" t="s">
        <v>441</v>
      </c>
      <c r="B165" s="5">
        <v>1999.0</v>
      </c>
      <c r="C165" s="3" t="s">
        <v>12</v>
      </c>
      <c r="D165" s="7">
        <v>377.0</v>
      </c>
      <c r="E165" s="3" t="s">
        <v>442</v>
      </c>
      <c r="F165" s="3" t="s">
        <v>14</v>
      </c>
      <c r="G165" s="3" t="s">
        <v>404</v>
      </c>
      <c r="H165" s="9" t="s">
        <v>443</v>
      </c>
      <c r="I165" s="9" t="s">
        <v>444</v>
      </c>
      <c r="J165" s="11" t="str">
        <f>HYPERLINK("https://rotamaguswines.com/product/volnay-clos-des-ducs-marquis-dangerville-1999-2/","https://rotamaguswines.com/product/volnay-clos-des-ducs-marquis-dangerville-1999-2/")</f>
        <v>https://rotamaguswines.com/product/volnay-clos-des-ducs-marquis-dangerville-1999-2/</v>
      </c>
      <c r="K165" s="9" t="s">
        <v>446</v>
      </c>
    </row>
    <row r="166" spans="1:11">
      <c r="A166" s="2" t="s">
        <v>447</v>
      </c>
      <c r="B166" s="4">
        <v>2006.0</v>
      </c>
      <c r="C166" s="2" t="s">
        <v>12</v>
      </c>
      <c r="D166" s="6">
        <v>1037.0</v>
      </c>
      <c r="E166" s="2" t="s">
        <v>448</v>
      </c>
      <c r="F166" s="2" t="s">
        <v>14</v>
      </c>
      <c r="G166" s="2" t="s">
        <v>404</v>
      </c>
      <c r="H166" s="8" t="s">
        <v>449</v>
      </c>
      <c r="I166" s="8" t="s">
        <v>450</v>
      </c>
      <c r="J166" s="10" t="str">
        <f>HYPERLINK("https://rotamaguswines.com/product/vosne-romanee-clos-du-chateau-2006-domaine-du-comte-liger-belair/","https://rotamaguswines.com/product/vosne-romanee-clos-du-chateau-2006-domaine-du-comte-liger-belair/")</f>
        <v>https://rotamaguswines.com/product/vosne-romanee-clos-du-chateau-2006-domaine-du-comte-liger-belair/</v>
      </c>
      <c r="K166" s="8" t="s">
        <v>451</v>
      </c>
    </row>
    <row r="167" spans="1:11">
      <c r="A167" s="3" t="s">
        <v>447</v>
      </c>
      <c r="B167" s="5">
        <v>2006.0</v>
      </c>
      <c r="C167" s="3" t="s">
        <v>12</v>
      </c>
      <c r="D167" s="7">
        <v>1037.0</v>
      </c>
      <c r="E167" s="3" t="s">
        <v>448</v>
      </c>
      <c r="F167" s="3" t="s">
        <v>14</v>
      </c>
      <c r="G167" s="3" t="s">
        <v>404</v>
      </c>
      <c r="H167" s="9" t="s">
        <v>449</v>
      </c>
      <c r="I167" s="9" t="s">
        <v>450</v>
      </c>
      <c r="J167" s="11" t="str">
        <f>HYPERLINK("https://rotamaguswines.com/product/vosne-romanee-clos-du-chateau-2006-domaine-du-comte-liger-belair-2/","https://rotamaguswines.com/product/vosne-romanee-clos-du-chateau-2006-domaine-du-comte-liger-belair-2/")</f>
        <v>https://rotamaguswines.com/product/vosne-romanee-clos-du-chateau-2006-domaine-du-comte-liger-belair-2/</v>
      </c>
      <c r="K167" s="9" t="s">
        <v>452</v>
      </c>
    </row>
    <row r="168" spans="1:11">
      <c r="A168" s="2" t="s">
        <v>447</v>
      </c>
      <c r="B168" s="4">
        <v>2006.0</v>
      </c>
      <c r="C168" s="2" t="s">
        <v>12</v>
      </c>
      <c r="D168" s="6">
        <v>1037.0</v>
      </c>
      <c r="E168" s="2" t="s">
        <v>448</v>
      </c>
      <c r="F168" s="2" t="s">
        <v>14</v>
      </c>
      <c r="G168" s="2" t="s">
        <v>404</v>
      </c>
      <c r="H168" s="8" t="s">
        <v>449</v>
      </c>
      <c r="I168" s="8" t="s">
        <v>450</v>
      </c>
      <c r="J168" s="10" t="str">
        <f>HYPERLINK("https://rotamaguswines.com/product/vosne-romanee-clos-du-chateau-2006-domaine-du-comte-liger-belair-3/","https://rotamaguswines.com/product/vosne-romanee-clos-du-chateau-2006-domaine-du-comte-liger-belair-3/")</f>
        <v>https://rotamaguswines.com/product/vosne-romanee-clos-du-chateau-2006-domaine-du-comte-liger-belair-3/</v>
      </c>
      <c r="K168" s="8" t="s">
        <v>453</v>
      </c>
    </row>
    <row r="169" spans="1:11">
      <c r="A169" s="3" t="s">
        <v>447</v>
      </c>
      <c r="B169" s="5">
        <v>2006.0</v>
      </c>
      <c r="C169" s="3" t="s">
        <v>12</v>
      </c>
      <c r="D169" s="7">
        <v>1037.0</v>
      </c>
      <c r="E169" s="3" t="s">
        <v>448</v>
      </c>
      <c r="F169" s="3" t="s">
        <v>14</v>
      </c>
      <c r="G169" s="3" t="s">
        <v>404</v>
      </c>
      <c r="H169" s="9" t="s">
        <v>449</v>
      </c>
      <c r="I169" s="9" t="s">
        <v>450</v>
      </c>
      <c r="J169" s="11" t="str">
        <f>HYPERLINK("https://rotamaguswines.com/product/vosne-romanee-clos-du-chateau-2006-domaine-du-comte-liger-belair-4/","https://rotamaguswines.com/product/vosne-romanee-clos-du-chateau-2006-domaine-du-comte-liger-belair-4/")</f>
        <v>https://rotamaguswines.com/product/vosne-romanee-clos-du-chateau-2006-domaine-du-comte-liger-belair-4/</v>
      </c>
      <c r="K169" s="9" t="s">
        <v>454</v>
      </c>
    </row>
    <row r="170" spans="1:11">
      <c r="A170" s="2" t="s">
        <v>455</v>
      </c>
      <c r="B170" s="4">
        <v>2006.0</v>
      </c>
      <c r="C170" s="2" t="s">
        <v>12</v>
      </c>
      <c r="D170" s="6">
        <v>1037.0</v>
      </c>
      <c r="E170" s="2" t="s">
        <v>448</v>
      </c>
      <c r="F170" s="2" t="s">
        <v>14</v>
      </c>
      <c r="G170" s="2" t="s">
        <v>404</v>
      </c>
      <c r="H170" s="8" t="s">
        <v>449</v>
      </c>
      <c r="I170" s="8" t="s">
        <v>450</v>
      </c>
      <c r="J170" s="10" t="str">
        <f>HYPERLINK("https://rotamaguswines.com/product/vosne-romanee-la-colombiere-2006-domaine-du-comte-liger-belair/","https://rotamaguswines.com/product/vosne-romanee-la-colombiere-2006-domaine-du-comte-liger-belair/")</f>
        <v>https://rotamaguswines.com/product/vosne-romanee-la-colombiere-2006-domaine-du-comte-liger-belair/</v>
      </c>
      <c r="K170" s="8" t="s">
        <v>456</v>
      </c>
    </row>
    <row r="171" spans="1:11">
      <c r="A171" s="3" t="s">
        <v>455</v>
      </c>
      <c r="B171" s="5">
        <v>2006.0</v>
      </c>
      <c r="C171" s="3" t="s">
        <v>12</v>
      </c>
      <c r="D171" s="7">
        <v>1037.0</v>
      </c>
      <c r="E171" s="3" t="s">
        <v>448</v>
      </c>
      <c r="F171" s="3" t="s">
        <v>14</v>
      </c>
      <c r="G171" s="3" t="s">
        <v>404</v>
      </c>
      <c r="H171" s="9" t="s">
        <v>449</v>
      </c>
      <c r="I171" s="9" t="s">
        <v>450</v>
      </c>
      <c r="J171" s="11" t="str">
        <f>HYPERLINK("https://rotamaguswines.com/product/vosne-romanee-la-colombiere-2006-domaine-du-comte-liger-belair-2/","https://rotamaguswines.com/product/vosne-romanee-la-colombiere-2006-domaine-du-comte-liger-belair-2/")</f>
        <v>https://rotamaguswines.com/product/vosne-romanee-la-colombiere-2006-domaine-du-comte-liger-belair-2/</v>
      </c>
      <c r="K171" s="9" t="s">
        <v>457</v>
      </c>
    </row>
    <row r="172" spans="1:11">
      <c r="A172" s="2" t="s">
        <v>455</v>
      </c>
      <c r="B172" s="4">
        <v>2006.0</v>
      </c>
      <c r="C172" s="2" t="s">
        <v>12</v>
      </c>
      <c r="D172" s="6">
        <v>1037.0</v>
      </c>
      <c r="E172" s="2" t="s">
        <v>448</v>
      </c>
      <c r="F172" s="2" t="s">
        <v>14</v>
      </c>
      <c r="G172" s="2" t="s">
        <v>404</v>
      </c>
      <c r="H172" s="8" t="s">
        <v>449</v>
      </c>
      <c r="I172" s="8" t="s">
        <v>450</v>
      </c>
      <c r="J172" s="10" t="str">
        <f>HYPERLINK("https://rotamaguswines.com/product/vosne-romanee-la-colombiere-2006-domaine-du-comte-liger-belair-3/","https://rotamaguswines.com/product/vosne-romanee-la-colombiere-2006-domaine-du-comte-liger-belair-3/")</f>
        <v>https://rotamaguswines.com/product/vosne-romanee-la-colombiere-2006-domaine-du-comte-liger-belair-3/</v>
      </c>
      <c r="K172" s="8" t="s">
        <v>458</v>
      </c>
    </row>
    <row r="173" spans="1:11">
      <c r="A173" s="3" t="s">
        <v>455</v>
      </c>
      <c r="B173" s="5">
        <v>2006.0</v>
      </c>
      <c r="C173" s="3" t="s">
        <v>12</v>
      </c>
      <c r="D173" s="7">
        <v>1037.0</v>
      </c>
      <c r="E173" s="3" t="s">
        <v>448</v>
      </c>
      <c r="F173" s="3" t="s">
        <v>14</v>
      </c>
      <c r="G173" s="3" t="s">
        <v>404</v>
      </c>
      <c r="H173" s="9" t="s">
        <v>449</v>
      </c>
      <c r="I173" s="9" t="s">
        <v>450</v>
      </c>
      <c r="J173" s="11" t="str">
        <f>HYPERLINK("https://rotamaguswines.com/product/vosne-romanee-la-colombiere-2006-domaine-du-comte-liger-belair-4/","https://rotamaguswines.com/product/vosne-romanee-la-colombiere-2006-domaine-du-comte-liger-belair-4/")</f>
        <v>https://rotamaguswines.com/product/vosne-romanee-la-colombiere-2006-domaine-du-comte-liger-belair-4/</v>
      </c>
      <c r="K173" s="9" t="s">
        <v>459</v>
      </c>
    </row>
    <row r="174" spans="1:11">
      <c r="A174" s="2" t="s">
        <v>460</v>
      </c>
      <c r="B174" s="4">
        <v>1962.0</v>
      </c>
      <c r="C174" s="2" t="s">
        <v>12</v>
      </c>
      <c r="D174" s="6">
        <v>537.0</v>
      </c>
      <c r="E174" s="2"/>
      <c r="F174" s="2" t="s">
        <v>14</v>
      </c>
      <c r="G174" s="2" t="s">
        <v>461</v>
      </c>
      <c r="H174" s="8" t="s">
        <v>461</v>
      </c>
      <c r="I174" s="8" t="s">
        <v>462</v>
      </c>
      <c r="J174" s="10" t="str">
        <f>HYPERLINK("https://rotamaguswines.com/product/cristal-roederer-1962/","https://rotamaguswines.com/product/cristal-roederer-1962/")</f>
        <v>https://rotamaguswines.com/product/cristal-roederer-1962/</v>
      </c>
      <c r="K174" s="8" t="s">
        <v>463</v>
      </c>
    </row>
    <row r="175" spans="1:11">
      <c r="A175" s="3" t="s">
        <v>464</v>
      </c>
      <c r="B175" s="5">
        <v>1966.0</v>
      </c>
      <c r="C175" s="3" t="s">
        <v>132</v>
      </c>
      <c r="D175" s="7">
        <v>1047.0</v>
      </c>
      <c r="E175" s="3"/>
      <c r="F175" s="3" t="s">
        <v>14</v>
      </c>
      <c r="G175" s="3" t="s">
        <v>461</v>
      </c>
      <c r="H175" s="9" t="s">
        <v>461</v>
      </c>
      <c r="I175" s="9" t="s">
        <v>462</v>
      </c>
      <c r="J175" s="11" t="str">
        <f>HYPERLINK("https://rotamaguswines.com/product/cristal-roederer-1966-magnum/","https://rotamaguswines.com/product/cristal-roederer-1966-magnum/")</f>
        <v>https://rotamaguswines.com/product/cristal-roederer-1966-magnum/</v>
      </c>
      <c r="K175" s="9" t="s">
        <v>465</v>
      </c>
    </row>
    <row r="176" spans="1:11">
      <c r="A176" s="2" t="s">
        <v>466</v>
      </c>
      <c r="B176" s="4">
        <v>1970.0</v>
      </c>
      <c r="C176" s="2" t="s">
        <v>12</v>
      </c>
      <c r="D176" s="6">
        <v>537.0</v>
      </c>
      <c r="E176" s="2"/>
      <c r="F176" s="2" t="s">
        <v>14</v>
      </c>
      <c r="G176" s="2" t="s">
        <v>461</v>
      </c>
      <c r="H176" s="8" t="s">
        <v>461</v>
      </c>
      <c r="I176" s="8" t="s">
        <v>462</v>
      </c>
      <c r="J176" s="10" t="str">
        <f>HYPERLINK("https://rotamaguswines.com/product/cristal-roederer-1970/","https://rotamaguswines.com/product/cristal-roederer-1970/")</f>
        <v>https://rotamaguswines.com/product/cristal-roederer-1970/</v>
      </c>
      <c r="K176" s="8" t="s">
        <v>467</v>
      </c>
    </row>
    <row r="177" spans="1:11">
      <c r="A177" s="3" t="s">
        <v>468</v>
      </c>
      <c r="B177" s="5">
        <v>1973.0</v>
      </c>
      <c r="C177" s="3" t="s">
        <v>132</v>
      </c>
      <c r="D177" s="7">
        <v>947.0</v>
      </c>
      <c r="E177" s="3"/>
      <c r="F177" s="3" t="s">
        <v>14</v>
      </c>
      <c r="G177" s="3" t="s">
        <v>461</v>
      </c>
      <c r="H177" s="9" t="s">
        <v>461</v>
      </c>
      <c r="I177" s="9" t="s">
        <v>462</v>
      </c>
      <c r="J177" s="11" t="str">
        <f>HYPERLINK("https://rotamaguswines.com/product/cristal-roederer-1973-magnum/","https://rotamaguswines.com/product/cristal-roederer-1973-magnum/")</f>
        <v>https://rotamaguswines.com/product/cristal-roederer-1973-magnum/</v>
      </c>
      <c r="K177" s="9" t="s">
        <v>469</v>
      </c>
    </row>
    <row r="178" spans="1:11">
      <c r="A178" s="2" t="s">
        <v>468</v>
      </c>
      <c r="B178" s="4">
        <v>1973.0</v>
      </c>
      <c r="C178" s="2" t="s">
        <v>132</v>
      </c>
      <c r="D178" s="6">
        <v>947.0</v>
      </c>
      <c r="E178" s="2"/>
      <c r="F178" s="2" t="s">
        <v>14</v>
      </c>
      <c r="G178" s="2" t="s">
        <v>461</v>
      </c>
      <c r="H178" s="8" t="s">
        <v>461</v>
      </c>
      <c r="I178" s="8" t="s">
        <v>462</v>
      </c>
      <c r="J178" s="10" t="str">
        <f>HYPERLINK("https://rotamaguswines.com/product/cristal-roederer-1973-magnum-2/","https://rotamaguswines.com/product/cristal-roederer-1973-magnum-2/")</f>
        <v>https://rotamaguswines.com/product/cristal-roederer-1973-magnum-2/</v>
      </c>
      <c r="K178" s="8" t="s">
        <v>470</v>
      </c>
    </row>
    <row r="179" spans="1:11">
      <c r="A179" s="3" t="s">
        <v>471</v>
      </c>
      <c r="B179" s="5">
        <v>1977.0</v>
      </c>
      <c r="C179" s="3" t="s">
        <v>12</v>
      </c>
      <c r="D179" s="7">
        <v>477.0</v>
      </c>
      <c r="E179" s="3"/>
      <c r="F179" s="3" t="s">
        <v>14</v>
      </c>
      <c r="G179" s="3" t="s">
        <v>461</v>
      </c>
      <c r="H179" s="9" t="s">
        <v>461</v>
      </c>
      <c r="I179" s="9" t="s">
        <v>462</v>
      </c>
      <c r="J179" s="11" t="str">
        <f>HYPERLINK("https://rotamaguswines.com/product/cristal-roederer-1977/","https://rotamaguswines.com/product/cristal-roederer-1977/")</f>
        <v>https://rotamaguswines.com/product/cristal-roederer-1977/</v>
      </c>
      <c r="K179" s="9" t="s">
        <v>472</v>
      </c>
    </row>
    <row r="180" spans="1:11">
      <c r="A180" s="2" t="s">
        <v>473</v>
      </c>
      <c r="B180" s="4">
        <v>1959.0</v>
      </c>
      <c r="C180" s="2" t="s">
        <v>12</v>
      </c>
      <c r="D180" s="6">
        <v>637.0</v>
      </c>
      <c r="E180" s="2"/>
      <c r="F180" s="2" t="s">
        <v>14</v>
      </c>
      <c r="G180" s="2" t="s">
        <v>461</v>
      </c>
      <c r="H180" s="8" t="s">
        <v>461</v>
      </c>
      <c r="I180" s="8" t="s">
        <v>474</v>
      </c>
      <c r="J180" s="10" t="str">
        <f>HYPERLINK("https://rotamaguswines.com/product/dom-perignon-1959/","https://rotamaguswines.com/product/dom-perignon-1959/")</f>
        <v>https://rotamaguswines.com/product/dom-perignon-1959/</v>
      </c>
      <c r="K180" s="8" t="s">
        <v>475</v>
      </c>
    </row>
    <row r="181" spans="1:11">
      <c r="A181" s="3" t="s">
        <v>473</v>
      </c>
      <c r="B181" s="5">
        <v>1959.0</v>
      </c>
      <c r="C181" s="3" t="s">
        <v>12</v>
      </c>
      <c r="D181" s="7">
        <v>637.0</v>
      </c>
      <c r="E181" s="3"/>
      <c r="F181" s="3" t="s">
        <v>14</v>
      </c>
      <c r="G181" s="3" t="s">
        <v>461</v>
      </c>
      <c r="H181" s="9" t="s">
        <v>461</v>
      </c>
      <c r="I181" s="9" t="s">
        <v>474</v>
      </c>
      <c r="J181" s="11" t="str">
        <f>HYPERLINK("https://rotamaguswines.com/product/dom-perignon-1959-2/","https://rotamaguswines.com/product/dom-perignon-1959-2/")</f>
        <v>https://rotamaguswines.com/product/dom-perignon-1959-2/</v>
      </c>
      <c r="K181" s="9" t="s">
        <v>476</v>
      </c>
    </row>
    <row r="182" spans="1:11">
      <c r="A182" s="2" t="s">
        <v>477</v>
      </c>
      <c r="B182" s="4">
        <v>1964.0</v>
      </c>
      <c r="C182" s="2" t="s">
        <v>12</v>
      </c>
      <c r="D182" s="6">
        <v>477.0</v>
      </c>
      <c r="E182" s="2" t="s">
        <v>478</v>
      </c>
      <c r="F182" s="2" t="s">
        <v>14</v>
      </c>
      <c r="G182" s="2" t="s">
        <v>461</v>
      </c>
      <c r="H182" s="8" t="s">
        <v>461</v>
      </c>
      <c r="I182" s="8" t="s">
        <v>474</v>
      </c>
      <c r="J182" s="10" t="str">
        <f>HYPERLINK("https://rotamaguswines.com/product/dom-perignon-1964/","https://rotamaguswines.com/product/dom-perignon-1964/")</f>
        <v>https://rotamaguswines.com/product/dom-perignon-1964/</v>
      </c>
      <c r="K182" s="8" t="s">
        <v>479</v>
      </c>
    </row>
    <row r="183" spans="1:11">
      <c r="A183" s="3" t="s">
        <v>477</v>
      </c>
      <c r="B183" s="5">
        <v>1964.0</v>
      </c>
      <c r="C183" s="3" t="s">
        <v>12</v>
      </c>
      <c r="D183" s="7">
        <v>477.0</v>
      </c>
      <c r="E183" s="3" t="s">
        <v>478</v>
      </c>
      <c r="F183" s="3" t="s">
        <v>14</v>
      </c>
      <c r="G183" s="3" t="s">
        <v>461</v>
      </c>
      <c r="H183" s="9" t="s">
        <v>461</v>
      </c>
      <c r="I183" s="9" t="s">
        <v>474</v>
      </c>
      <c r="J183" s="11" t="str">
        <f>HYPERLINK("https://rotamaguswines.com/product/dom-perignon-1964-2/","https://rotamaguswines.com/product/dom-perignon-1964-2/")</f>
        <v>https://rotamaguswines.com/product/dom-perignon-1964-2/</v>
      </c>
      <c r="K183" s="9" t="s">
        <v>480</v>
      </c>
    </row>
    <row r="184" spans="1:11">
      <c r="A184" s="2" t="s">
        <v>477</v>
      </c>
      <c r="B184" s="4">
        <v>1964.0</v>
      </c>
      <c r="C184" s="2" t="s">
        <v>12</v>
      </c>
      <c r="D184" s="6">
        <v>477.0</v>
      </c>
      <c r="E184" s="2" t="s">
        <v>478</v>
      </c>
      <c r="F184" s="2" t="s">
        <v>14</v>
      </c>
      <c r="G184" s="2" t="s">
        <v>461</v>
      </c>
      <c r="H184" s="8" t="s">
        <v>461</v>
      </c>
      <c r="I184" s="8" t="s">
        <v>474</v>
      </c>
      <c r="J184" s="10" t="str">
        <f>HYPERLINK("https://rotamaguswines.com/product/dom-perignon-1964-3/","https://rotamaguswines.com/product/dom-perignon-1964-3/")</f>
        <v>https://rotamaguswines.com/product/dom-perignon-1964-3/</v>
      </c>
      <c r="K184" s="8" t="s">
        <v>481</v>
      </c>
    </row>
    <row r="185" spans="1:11">
      <c r="A185" s="3" t="s">
        <v>477</v>
      </c>
      <c r="B185" s="5">
        <v>1964.0</v>
      </c>
      <c r="C185" s="3" t="s">
        <v>12</v>
      </c>
      <c r="D185" s="7">
        <v>407.0</v>
      </c>
      <c r="E185" s="3" t="s">
        <v>482</v>
      </c>
      <c r="F185" s="3" t="s">
        <v>14</v>
      </c>
      <c r="G185" s="3" t="s">
        <v>461</v>
      </c>
      <c r="H185" s="9" t="s">
        <v>461</v>
      </c>
      <c r="I185" s="9" t="s">
        <v>474</v>
      </c>
      <c r="J185" s="11" t="str">
        <f>HYPERLINK("https://rotamaguswines.com/product/dom-perignon-1964-4/","https://rotamaguswines.com/product/dom-perignon-1964-4/")</f>
        <v>https://rotamaguswines.com/product/dom-perignon-1964-4/</v>
      </c>
      <c r="K185" s="9" t="s">
        <v>483</v>
      </c>
    </row>
    <row r="186" spans="1:11">
      <c r="A186" s="2" t="s">
        <v>477</v>
      </c>
      <c r="B186" s="4">
        <v>1964.0</v>
      </c>
      <c r="C186" s="2" t="s">
        <v>12</v>
      </c>
      <c r="D186" s="6">
        <v>387.0</v>
      </c>
      <c r="E186" s="2" t="s">
        <v>484</v>
      </c>
      <c r="F186" s="2" t="s">
        <v>14</v>
      </c>
      <c r="G186" s="2" t="s">
        <v>461</v>
      </c>
      <c r="H186" s="8" t="s">
        <v>461</v>
      </c>
      <c r="I186" s="8" t="s">
        <v>474</v>
      </c>
      <c r="J186" s="10" t="str">
        <f>HYPERLINK("https://rotamaguswines.com/product/dom-perignon-1964-6/","https://rotamaguswines.com/product/dom-perignon-1964-6/")</f>
        <v>https://rotamaguswines.com/product/dom-perignon-1964-6/</v>
      </c>
      <c r="K186" s="8" t="s">
        <v>485</v>
      </c>
    </row>
    <row r="187" spans="1:11">
      <c r="A187" s="3" t="s">
        <v>477</v>
      </c>
      <c r="B187" s="5">
        <v>1964.0</v>
      </c>
      <c r="C187" s="3" t="s">
        <v>12</v>
      </c>
      <c r="D187" s="7">
        <v>407.0</v>
      </c>
      <c r="E187" s="3" t="s">
        <v>482</v>
      </c>
      <c r="F187" s="3" t="s">
        <v>14</v>
      </c>
      <c r="G187" s="3" t="s">
        <v>461</v>
      </c>
      <c r="H187" s="9" t="s">
        <v>461</v>
      </c>
      <c r="I187" s="9" t="s">
        <v>474</v>
      </c>
      <c r="J187" s="11" t="str">
        <f>HYPERLINK("https://rotamaguswines.com/product/dom-perignon-1964-7/","https://rotamaguswines.com/product/dom-perignon-1964-7/")</f>
        <v>https://rotamaguswines.com/product/dom-perignon-1964-7/</v>
      </c>
      <c r="K187" s="9" t="s">
        <v>486</v>
      </c>
    </row>
    <row r="188" spans="1:11">
      <c r="A188" s="2" t="s">
        <v>477</v>
      </c>
      <c r="B188" s="4">
        <v>1964.0</v>
      </c>
      <c r="C188" s="2" t="s">
        <v>12</v>
      </c>
      <c r="D188" s="6">
        <v>477.0</v>
      </c>
      <c r="E188" s="2" t="s">
        <v>478</v>
      </c>
      <c r="F188" s="2" t="s">
        <v>14</v>
      </c>
      <c r="G188" s="2" t="s">
        <v>461</v>
      </c>
      <c r="H188" s="8" t="s">
        <v>461</v>
      </c>
      <c r="I188" s="8" t="s">
        <v>474</v>
      </c>
      <c r="J188" s="10" t="str">
        <f>HYPERLINK("https://rotamaguswines.com/product/dom-perignon-1964-8/","https://rotamaguswines.com/product/dom-perignon-1964-8/")</f>
        <v>https://rotamaguswines.com/product/dom-perignon-1964-8/</v>
      </c>
      <c r="K188" s="8" t="s">
        <v>487</v>
      </c>
    </row>
    <row r="189" spans="1:11">
      <c r="A189" s="3" t="s">
        <v>477</v>
      </c>
      <c r="B189" s="5">
        <v>1964.0</v>
      </c>
      <c r="C189" s="3" t="s">
        <v>12</v>
      </c>
      <c r="D189" s="7">
        <v>407.0</v>
      </c>
      <c r="E189" s="3" t="s">
        <v>482</v>
      </c>
      <c r="F189" s="3" t="s">
        <v>14</v>
      </c>
      <c r="G189" s="3" t="s">
        <v>461</v>
      </c>
      <c r="H189" s="9" t="s">
        <v>461</v>
      </c>
      <c r="I189" s="9" t="s">
        <v>474</v>
      </c>
      <c r="J189" s="11" t="str">
        <f>HYPERLINK("https://rotamaguswines.com/product/dom-perignon-1964-9/","https://rotamaguswines.com/product/dom-perignon-1964-9/")</f>
        <v>https://rotamaguswines.com/product/dom-perignon-1964-9/</v>
      </c>
      <c r="K189" s="9" t="s">
        <v>488</v>
      </c>
    </row>
    <row r="190" spans="1:11">
      <c r="A190" s="2" t="s">
        <v>477</v>
      </c>
      <c r="B190" s="4">
        <v>1964.0</v>
      </c>
      <c r="C190" s="2" t="s">
        <v>12</v>
      </c>
      <c r="D190" s="6">
        <v>387.0</v>
      </c>
      <c r="E190" s="2" t="s">
        <v>484</v>
      </c>
      <c r="F190" s="2" t="s">
        <v>14</v>
      </c>
      <c r="G190" s="2" t="s">
        <v>461</v>
      </c>
      <c r="H190" s="8" t="s">
        <v>461</v>
      </c>
      <c r="I190" s="8" t="s">
        <v>474</v>
      </c>
      <c r="J190" s="10" t="str">
        <f>HYPERLINK("https://rotamaguswines.com/product/dom-perignon-1964-10/","https://rotamaguswines.com/product/dom-perignon-1964-10/")</f>
        <v>https://rotamaguswines.com/product/dom-perignon-1964-10/</v>
      </c>
      <c r="K190" s="8" t="s">
        <v>489</v>
      </c>
    </row>
    <row r="191" spans="1:11">
      <c r="A191" s="3" t="s">
        <v>477</v>
      </c>
      <c r="B191" s="5">
        <v>1964.0</v>
      </c>
      <c r="C191" s="3" t="s">
        <v>12</v>
      </c>
      <c r="D191" s="7">
        <v>387.0</v>
      </c>
      <c r="E191" s="3" t="s">
        <v>484</v>
      </c>
      <c r="F191" s="3" t="s">
        <v>14</v>
      </c>
      <c r="G191" s="3" t="s">
        <v>461</v>
      </c>
      <c r="H191" s="9" t="s">
        <v>461</v>
      </c>
      <c r="I191" s="9" t="s">
        <v>474</v>
      </c>
      <c r="J191" s="11" t="str">
        <f>HYPERLINK("https://rotamaguswines.com/product/dom-perignon-1964-11/","https://rotamaguswines.com/product/dom-perignon-1964-11/")</f>
        <v>https://rotamaguswines.com/product/dom-perignon-1964-11/</v>
      </c>
      <c r="K191" s="9" t="s">
        <v>490</v>
      </c>
    </row>
    <row r="192" spans="1:11">
      <c r="A192" s="2" t="s">
        <v>477</v>
      </c>
      <c r="B192" s="4">
        <v>1964.0</v>
      </c>
      <c r="C192" s="2" t="s">
        <v>12</v>
      </c>
      <c r="D192" s="6">
        <v>477.0</v>
      </c>
      <c r="E192" s="2" t="s">
        <v>478</v>
      </c>
      <c r="F192" s="2" t="s">
        <v>14</v>
      </c>
      <c r="G192" s="2" t="s">
        <v>461</v>
      </c>
      <c r="H192" s="8" t="s">
        <v>461</v>
      </c>
      <c r="I192" s="8" t="s">
        <v>474</v>
      </c>
      <c r="J192" s="10" t="str">
        <f>HYPERLINK("https://rotamaguswines.com/product/dom-perignon-1964-12/","https://rotamaguswines.com/product/dom-perignon-1964-12/")</f>
        <v>https://rotamaguswines.com/product/dom-perignon-1964-12/</v>
      </c>
      <c r="K192" s="8" t="s">
        <v>491</v>
      </c>
    </row>
    <row r="193" spans="1:11">
      <c r="A193" s="3" t="s">
        <v>477</v>
      </c>
      <c r="B193" s="5">
        <v>1964.0</v>
      </c>
      <c r="C193" s="3" t="s">
        <v>12</v>
      </c>
      <c r="D193" s="7">
        <v>407.0</v>
      </c>
      <c r="E193" s="3" t="s">
        <v>482</v>
      </c>
      <c r="F193" s="3" t="s">
        <v>14</v>
      </c>
      <c r="G193" s="3" t="s">
        <v>461</v>
      </c>
      <c r="H193" s="9" t="s">
        <v>461</v>
      </c>
      <c r="I193" s="9" t="s">
        <v>474</v>
      </c>
      <c r="J193" s="11" t="str">
        <f>HYPERLINK("https://rotamaguswines.com/product/dom-perignon-1964-13/","https://rotamaguswines.com/product/dom-perignon-1964-13/")</f>
        <v>https://rotamaguswines.com/product/dom-perignon-1964-13/</v>
      </c>
      <c r="K193" s="9" t="s">
        <v>492</v>
      </c>
    </row>
    <row r="194" spans="1:11">
      <c r="A194" s="2" t="s">
        <v>493</v>
      </c>
      <c r="B194" s="4">
        <v>1964.0</v>
      </c>
      <c r="C194" s="2" t="s">
        <v>132</v>
      </c>
      <c r="D194" s="6">
        <v>1500.0</v>
      </c>
      <c r="E194" s="2" t="s">
        <v>494</v>
      </c>
      <c r="F194" s="2" t="s">
        <v>14</v>
      </c>
      <c r="G194" s="2" t="s">
        <v>461</v>
      </c>
      <c r="H194" s="8" t="s">
        <v>461</v>
      </c>
      <c r="I194" s="8" t="s">
        <v>474</v>
      </c>
      <c r="J194" s="10" t="str">
        <f>HYPERLINK("https://rotamaguswines.com/product/dom-perignon-1964-magnum/","https://rotamaguswines.com/product/dom-perignon-1964-magnum/")</f>
        <v>https://rotamaguswines.com/product/dom-perignon-1964-magnum/</v>
      </c>
      <c r="K194" s="8" t="s">
        <v>495</v>
      </c>
    </row>
    <row r="195" spans="1:11">
      <c r="A195" s="3" t="s">
        <v>496</v>
      </c>
      <c r="B195" s="5">
        <v>1966.0</v>
      </c>
      <c r="C195" s="3" t="s">
        <v>12</v>
      </c>
      <c r="D195" s="7">
        <v>487.0</v>
      </c>
      <c r="E195" s="3" t="s">
        <v>497</v>
      </c>
      <c r="F195" s="3" t="s">
        <v>14</v>
      </c>
      <c r="G195" s="3" t="s">
        <v>461</v>
      </c>
      <c r="H195" s="9" t="s">
        <v>461</v>
      </c>
      <c r="I195" s="9" t="s">
        <v>474</v>
      </c>
      <c r="J195" s="11" t="str">
        <f>HYPERLINK("https://rotamaguswines.com/product/dom-perignon-1966/","https://rotamaguswines.com/product/dom-perignon-1966/")</f>
        <v>https://rotamaguswines.com/product/dom-perignon-1966/</v>
      </c>
      <c r="K195" s="9" t="s">
        <v>498</v>
      </c>
    </row>
    <row r="196" spans="1:11">
      <c r="A196" s="2" t="s">
        <v>496</v>
      </c>
      <c r="B196" s="4">
        <v>1966.0</v>
      </c>
      <c r="C196" s="2" t="s">
        <v>12</v>
      </c>
      <c r="D196" s="6">
        <v>477.0</v>
      </c>
      <c r="E196" s="2" t="s">
        <v>499</v>
      </c>
      <c r="F196" s="2" t="s">
        <v>14</v>
      </c>
      <c r="G196" s="2" t="s">
        <v>461</v>
      </c>
      <c r="H196" s="8" t="s">
        <v>461</v>
      </c>
      <c r="I196" s="8" t="s">
        <v>474</v>
      </c>
      <c r="J196" s="10" t="str">
        <f>HYPERLINK("https://rotamaguswines.com/product/dom-perignon-1966-2/","https://rotamaguswines.com/product/dom-perignon-1966-2/")</f>
        <v>https://rotamaguswines.com/product/dom-perignon-1966-2/</v>
      </c>
      <c r="K196" s="8" t="s">
        <v>500</v>
      </c>
    </row>
    <row r="197" spans="1:11">
      <c r="A197" s="3" t="s">
        <v>496</v>
      </c>
      <c r="B197" s="5">
        <v>1966.0</v>
      </c>
      <c r="C197" s="3" t="s">
        <v>12</v>
      </c>
      <c r="D197" s="7">
        <v>607.0</v>
      </c>
      <c r="E197" s="3" t="s">
        <v>501</v>
      </c>
      <c r="F197" s="3" t="s">
        <v>14</v>
      </c>
      <c r="G197" s="3" t="s">
        <v>461</v>
      </c>
      <c r="H197" s="9" t="s">
        <v>461</v>
      </c>
      <c r="I197" s="9" t="s">
        <v>474</v>
      </c>
      <c r="J197" s="11" t="str">
        <f>HYPERLINK("https://rotamaguswines.com/product/dom-perignon-1966-3/","https://rotamaguswines.com/product/dom-perignon-1966-3/")</f>
        <v>https://rotamaguswines.com/product/dom-perignon-1966-3/</v>
      </c>
      <c r="K197" s="9" t="s">
        <v>502</v>
      </c>
    </row>
    <row r="198" spans="1:11">
      <c r="A198" s="2" t="s">
        <v>496</v>
      </c>
      <c r="B198" s="4">
        <v>1966.0</v>
      </c>
      <c r="C198" s="2" t="s">
        <v>12</v>
      </c>
      <c r="D198" s="6">
        <v>487.0</v>
      </c>
      <c r="E198" s="2" t="s">
        <v>497</v>
      </c>
      <c r="F198" s="2" t="s">
        <v>14</v>
      </c>
      <c r="G198" s="2" t="s">
        <v>461</v>
      </c>
      <c r="H198" s="8" t="s">
        <v>461</v>
      </c>
      <c r="I198" s="8" t="s">
        <v>474</v>
      </c>
      <c r="J198" s="10" t="str">
        <f>HYPERLINK("https://rotamaguswines.com/product/dom-perignon-1966-4/","https://rotamaguswines.com/product/dom-perignon-1966-4/")</f>
        <v>https://rotamaguswines.com/product/dom-perignon-1966-4/</v>
      </c>
      <c r="K198" s="8" t="s">
        <v>503</v>
      </c>
    </row>
    <row r="199" spans="1:11">
      <c r="A199" s="3" t="s">
        <v>496</v>
      </c>
      <c r="B199" s="5">
        <v>1966.0</v>
      </c>
      <c r="C199" s="3" t="s">
        <v>12</v>
      </c>
      <c r="D199" s="7">
        <v>477.0</v>
      </c>
      <c r="E199" s="3" t="s">
        <v>499</v>
      </c>
      <c r="F199" s="3" t="s">
        <v>14</v>
      </c>
      <c r="G199" s="3" t="s">
        <v>461</v>
      </c>
      <c r="H199" s="9" t="s">
        <v>461</v>
      </c>
      <c r="I199" s="9" t="s">
        <v>474</v>
      </c>
      <c r="J199" s="11" t="str">
        <f>HYPERLINK("https://rotamaguswines.com/product/dom-perignon-1966-5/","https://rotamaguswines.com/product/dom-perignon-1966-5/")</f>
        <v>https://rotamaguswines.com/product/dom-perignon-1966-5/</v>
      </c>
      <c r="K199" s="9" t="s">
        <v>504</v>
      </c>
    </row>
    <row r="200" spans="1:11">
      <c r="A200" s="2" t="s">
        <v>505</v>
      </c>
      <c r="B200" s="4">
        <v>1969.0</v>
      </c>
      <c r="C200" s="2" t="s">
        <v>12</v>
      </c>
      <c r="D200" s="6">
        <v>447.0</v>
      </c>
      <c r="E200" s="2" t="s">
        <v>506</v>
      </c>
      <c r="F200" s="2" t="s">
        <v>14</v>
      </c>
      <c r="G200" s="2" t="s">
        <v>461</v>
      </c>
      <c r="H200" s="8" t="s">
        <v>461</v>
      </c>
      <c r="I200" s="8" t="s">
        <v>474</v>
      </c>
      <c r="J200" s="10" t="str">
        <f>HYPERLINK("https://rotamaguswines.com/product/dom-perignon-1969-2/","https://rotamaguswines.com/product/dom-perignon-1969-2/")</f>
        <v>https://rotamaguswines.com/product/dom-perignon-1969-2/</v>
      </c>
      <c r="K200" s="8" t="s">
        <v>507</v>
      </c>
    </row>
    <row r="201" spans="1:11">
      <c r="A201" s="3" t="s">
        <v>505</v>
      </c>
      <c r="B201" s="5">
        <v>1969.0</v>
      </c>
      <c r="C201" s="3" t="s">
        <v>12</v>
      </c>
      <c r="D201" s="7">
        <v>477.0</v>
      </c>
      <c r="E201" s="3" t="s">
        <v>508</v>
      </c>
      <c r="F201" s="3" t="s">
        <v>14</v>
      </c>
      <c r="G201" s="3" t="s">
        <v>461</v>
      </c>
      <c r="H201" s="9" t="s">
        <v>461</v>
      </c>
      <c r="I201" s="9" t="s">
        <v>474</v>
      </c>
      <c r="J201" s="11" t="str">
        <f>HYPERLINK("https://rotamaguswines.com/product/dom-perignon-1969-3/","https://rotamaguswines.com/product/dom-perignon-1969-3/")</f>
        <v>https://rotamaguswines.com/product/dom-perignon-1969-3/</v>
      </c>
      <c r="K201" s="9" t="s">
        <v>509</v>
      </c>
    </row>
    <row r="202" spans="1:11">
      <c r="A202" s="2" t="s">
        <v>505</v>
      </c>
      <c r="B202" s="4">
        <v>1969.0</v>
      </c>
      <c r="C202" s="2" t="s">
        <v>12</v>
      </c>
      <c r="D202" s="6">
        <v>447.0</v>
      </c>
      <c r="E202" s="2" t="s">
        <v>506</v>
      </c>
      <c r="F202" s="2" t="s">
        <v>14</v>
      </c>
      <c r="G202" s="2" t="s">
        <v>461</v>
      </c>
      <c r="H202" s="8" t="s">
        <v>461</v>
      </c>
      <c r="I202" s="8" t="s">
        <v>474</v>
      </c>
      <c r="J202" s="10" t="str">
        <f>HYPERLINK("https://rotamaguswines.com/product/dom-perignon-1969-4/","https://rotamaguswines.com/product/dom-perignon-1969-4/")</f>
        <v>https://rotamaguswines.com/product/dom-perignon-1969-4/</v>
      </c>
      <c r="K202" s="8" t="s">
        <v>510</v>
      </c>
    </row>
    <row r="203" spans="1:11">
      <c r="A203" s="3" t="s">
        <v>505</v>
      </c>
      <c r="B203" s="5">
        <v>1969.0</v>
      </c>
      <c r="C203" s="3" t="s">
        <v>12</v>
      </c>
      <c r="D203" s="7">
        <v>507.0</v>
      </c>
      <c r="E203" s="3" t="s">
        <v>511</v>
      </c>
      <c r="F203" s="3" t="s">
        <v>14</v>
      </c>
      <c r="G203" s="3" t="s">
        <v>461</v>
      </c>
      <c r="H203" s="9" t="s">
        <v>461</v>
      </c>
      <c r="I203" s="9" t="s">
        <v>474</v>
      </c>
      <c r="J203" s="11" t="str">
        <f>HYPERLINK("https://rotamaguswines.com/product/dom-perignon-1969-6/","https://rotamaguswines.com/product/dom-perignon-1969-6/")</f>
        <v>https://rotamaguswines.com/product/dom-perignon-1969-6/</v>
      </c>
      <c r="K203" s="9" t="s">
        <v>512</v>
      </c>
    </row>
    <row r="204" spans="1:11">
      <c r="A204" s="2" t="s">
        <v>505</v>
      </c>
      <c r="B204" s="4">
        <v>1969.0</v>
      </c>
      <c r="C204" s="2" t="s">
        <v>12</v>
      </c>
      <c r="D204" s="6">
        <v>477.0</v>
      </c>
      <c r="E204" s="2" t="s">
        <v>508</v>
      </c>
      <c r="F204" s="2" t="s">
        <v>14</v>
      </c>
      <c r="G204" s="2" t="s">
        <v>461</v>
      </c>
      <c r="H204" s="8" t="s">
        <v>461</v>
      </c>
      <c r="I204" s="8" t="s">
        <v>474</v>
      </c>
      <c r="J204" s="10" t="str">
        <f>HYPERLINK("https://rotamaguswines.com/product/dom-perignon-1969-7/","https://rotamaguswines.com/product/dom-perignon-1969-7/")</f>
        <v>https://rotamaguswines.com/product/dom-perignon-1969-7/</v>
      </c>
      <c r="K204" s="8" t="s">
        <v>513</v>
      </c>
    </row>
    <row r="205" spans="1:11">
      <c r="A205" s="3" t="s">
        <v>505</v>
      </c>
      <c r="B205" s="5">
        <v>1969.0</v>
      </c>
      <c r="C205" s="3" t="s">
        <v>12</v>
      </c>
      <c r="D205" s="7">
        <v>507.0</v>
      </c>
      <c r="E205" s="3" t="s">
        <v>511</v>
      </c>
      <c r="F205" s="3" t="s">
        <v>14</v>
      </c>
      <c r="G205" s="3" t="s">
        <v>461</v>
      </c>
      <c r="H205" s="9" t="s">
        <v>461</v>
      </c>
      <c r="I205" s="9" t="s">
        <v>474</v>
      </c>
      <c r="J205" s="11" t="str">
        <f>HYPERLINK("https://rotamaguswines.com/product/dom-perignon-1969-8/","https://rotamaguswines.com/product/dom-perignon-1969-8/")</f>
        <v>https://rotamaguswines.com/product/dom-perignon-1969-8/</v>
      </c>
      <c r="K205" s="9" t="s">
        <v>514</v>
      </c>
    </row>
    <row r="206" spans="1:11">
      <c r="A206" s="2" t="s">
        <v>505</v>
      </c>
      <c r="B206" s="4">
        <v>1969.0</v>
      </c>
      <c r="C206" s="2" t="s">
        <v>12</v>
      </c>
      <c r="D206" s="6">
        <v>507.0</v>
      </c>
      <c r="E206" s="2" t="s">
        <v>511</v>
      </c>
      <c r="F206" s="2" t="s">
        <v>14</v>
      </c>
      <c r="G206" s="2" t="s">
        <v>461</v>
      </c>
      <c r="H206" s="8" t="s">
        <v>461</v>
      </c>
      <c r="I206" s="8" t="s">
        <v>474</v>
      </c>
      <c r="J206" s="10" t="str">
        <f>HYPERLINK("https://rotamaguswines.com/product/dom-perignon-1969-9/","https://rotamaguswines.com/product/dom-perignon-1969-9/")</f>
        <v>https://rotamaguswines.com/product/dom-perignon-1969-9/</v>
      </c>
      <c r="K206" s="8" t="s">
        <v>515</v>
      </c>
    </row>
    <row r="207" spans="1:11">
      <c r="A207" s="3" t="s">
        <v>505</v>
      </c>
      <c r="B207" s="5">
        <v>1969.0</v>
      </c>
      <c r="C207" s="3" t="s">
        <v>12</v>
      </c>
      <c r="D207" s="7">
        <v>447.0</v>
      </c>
      <c r="E207" s="3" t="s">
        <v>506</v>
      </c>
      <c r="F207" s="3" t="s">
        <v>14</v>
      </c>
      <c r="G207" s="3" t="s">
        <v>461</v>
      </c>
      <c r="H207" s="9" t="s">
        <v>461</v>
      </c>
      <c r="I207" s="9" t="s">
        <v>474</v>
      </c>
      <c r="J207" s="11" t="str">
        <f>HYPERLINK("https://rotamaguswines.com/product/dom-perignon-1969-10/","https://rotamaguswines.com/product/dom-perignon-1969-10/")</f>
        <v>https://rotamaguswines.com/product/dom-perignon-1969-10/</v>
      </c>
      <c r="K207" s="9" t="s">
        <v>516</v>
      </c>
    </row>
    <row r="208" spans="1:11">
      <c r="A208" s="2" t="s">
        <v>517</v>
      </c>
      <c r="B208" s="4">
        <v>1970.0</v>
      </c>
      <c r="C208" s="2" t="s">
        <v>12</v>
      </c>
      <c r="D208" s="6">
        <v>427.0</v>
      </c>
      <c r="E208" s="2" t="s">
        <v>518</v>
      </c>
      <c r="F208" s="2" t="s">
        <v>14</v>
      </c>
      <c r="G208" s="2" t="s">
        <v>461</v>
      </c>
      <c r="H208" s="8" t="s">
        <v>461</v>
      </c>
      <c r="I208" s="8" t="s">
        <v>474</v>
      </c>
      <c r="J208" s="10" t="str">
        <f>HYPERLINK("https://rotamaguswines.com/product/dom-perignon-1970/","https://rotamaguswines.com/product/dom-perignon-1970/")</f>
        <v>https://rotamaguswines.com/product/dom-perignon-1970/</v>
      </c>
      <c r="K208" s="8" t="s">
        <v>519</v>
      </c>
    </row>
    <row r="209" spans="1:11">
      <c r="A209" s="3" t="s">
        <v>517</v>
      </c>
      <c r="B209" s="5">
        <v>1970.0</v>
      </c>
      <c r="C209" s="3" t="s">
        <v>12</v>
      </c>
      <c r="D209" s="7">
        <v>327.0</v>
      </c>
      <c r="E209" s="3" t="s">
        <v>520</v>
      </c>
      <c r="F209" s="3" t="s">
        <v>14</v>
      </c>
      <c r="G209" s="3" t="s">
        <v>461</v>
      </c>
      <c r="H209" s="9" t="s">
        <v>461</v>
      </c>
      <c r="I209" s="9" t="s">
        <v>474</v>
      </c>
      <c r="J209" s="11" t="str">
        <f>HYPERLINK("https://rotamaguswines.com/product/dom-perignon-1970-2/","https://rotamaguswines.com/product/dom-perignon-1970-2/")</f>
        <v>https://rotamaguswines.com/product/dom-perignon-1970-2/</v>
      </c>
      <c r="K209" s="9" t="s">
        <v>521</v>
      </c>
    </row>
    <row r="210" spans="1:11">
      <c r="A210" s="2" t="s">
        <v>517</v>
      </c>
      <c r="B210" s="4">
        <v>1970.0</v>
      </c>
      <c r="C210" s="2" t="s">
        <v>12</v>
      </c>
      <c r="D210" s="6">
        <v>477.0</v>
      </c>
      <c r="E210" s="2" t="s">
        <v>522</v>
      </c>
      <c r="F210" s="2" t="s">
        <v>14</v>
      </c>
      <c r="G210" s="2" t="s">
        <v>461</v>
      </c>
      <c r="H210" s="8" t="s">
        <v>461</v>
      </c>
      <c r="I210" s="8" t="s">
        <v>474</v>
      </c>
      <c r="J210" s="10" t="str">
        <f>HYPERLINK("https://rotamaguswines.com/product/dom-perignon-1970-3/","https://rotamaguswines.com/product/dom-perignon-1970-3/")</f>
        <v>https://rotamaguswines.com/product/dom-perignon-1970-3/</v>
      </c>
      <c r="K210" s="8" t="s">
        <v>523</v>
      </c>
    </row>
    <row r="211" spans="1:11">
      <c r="A211" s="3" t="s">
        <v>517</v>
      </c>
      <c r="B211" s="5">
        <v>1970.0</v>
      </c>
      <c r="C211" s="3" t="s">
        <v>12</v>
      </c>
      <c r="D211" s="7">
        <v>327.0</v>
      </c>
      <c r="E211" s="3" t="s">
        <v>520</v>
      </c>
      <c r="F211" s="3" t="s">
        <v>14</v>
      </c>
      <c r="G211" s="3" t="s">
        <v>461</v>
      </c>
      <c r="H211" s="9" t="s">
        <v>461</v>
      </c>
      <c r="I211" s="9" t="s">
        <v>474</v>
      </c>
      <c r="J211" s="11" t="str">
        <f>HYPERLINK("https://rotamaguswines.com/product/dom-perignon-1970-4/","https://rotamaguswines.com/product/dom-perignon-1970-4/")</f>
        <v>https://rotamaguswines.com/product/dom-perignon-1970-4/</v>
      </c>
      <c r="K211" s="9" t="s">
        <v>524</v>
      </c>
    </row>
    <row r="212" spans="1:11">
      <c r="A212" s="2" t="s">
        <v>517</v>
      </c>
      <c r="B212" s="4">
        <v>1970.0</v>
      </c>
      <c r="C212" s="2" t="s">
        <v>12</v>
      </c>
      <c r="D212" s="6">
        <v>477.0</v>
      </c>
      <c r="E212" s="2" t="s">
        <v>522</v>
      </c>
      <c r="F212" s="2" t="s">
        <v>14</v>
      </c>
      <c r="G212" s="2" t="s">
        <v>461</v>
      </c>
      <c r="H212" s="8" t="s">
        <v>461</v>
      </c>
      <c r="I212" s="8" t="s">
        <v>474</v>
      </c>
      <c r="J212" s="10" t="str">
        <f>HYPERLINK("https://rotamaguswines.com/product/dom-perignon-1970-5/","https://rotamaguswines.com/product/dom-perignon-1970-5/")</f>
        <v>https://rotamaguswines.com/product/dom-perignon-1970-5/</v>
      </c>
      <c r="K212" s="8" t="s">
        <v>525</v>
      </c>
    </row>
    <row r="213" spans="1:11">
      <c r="A213" s="3" t="s">
        <v>517</v>
      </c>
      <c r="B213" s="5">
        <v>1970.0</v>
      </c>
      <c r="C213" s="3" t="s">
        <v>12</v>
      </c>
      <c r="D213" s="7">
        <v>377.0</v>
      </c>
      <c r="E213" s="3" t="s">
        <v>526</v>
      </c>
      <c r="F213" s="3" t="s">
        <v>14</v>
      </c>
      <c r="G213" s="3" t="s">
        <v>461</v>
      </c>
      <c r="H213" s="9" t="s">
        <v>461</v>
      </c>
      <c r="I213" s="9" t="s">
        <v>474</v>
      </c>
      <c r="J213" s="11" t="str">
        <f>HYPERLINK("https://rotamaguswines.com/product/dom-perignon-1970-6/","https://rotamaguswines.com/product/dom-perignon-1970-6/")</f>
        <v>https://rotamaguswines.com/product/dom-perignon-1970-6/</v>
      </c>
      <c r="K213" s="9" t="s">
        <v>527</v>
      </c>
    </row>
    <row r="214" spans="1:11">
      <c r="A214" s="2" t="s">
        <v>517</v>
      </c>
      <c r="B214" s="4">
        <v>1970.0</v>
      </c>
      <c r="C214" s="2" t="s">
        <v>12</v>
      </c>
      <c r="D214" s="6">
        <v>477.0</v>
      </c>
      <c r="E214" s="2" t="s">
        <v>522</v>
      </c>
      <c r="F214" s="2" t="s">
        <v>14</v>
      </c>
      <c r="G214" s="2" t="s">
        <v>461</v>
      </c>
      <c r="H214" s="8" t="s">
        <v>461</v>
      </c>
      <c r="I214" s="8" t="s">
        <v>474</v>
      </c>
      <c r="J214" s="10" t="str">
        <f>HYPERLINK("https://rotamaguswines.com/product/dom-perignon-1970-7/","https://rotamaguswines.com/product/dom-perignon-1970-7/")</f>
        <v>https://rotamaguswines.com/product/dom-perignon-1970-7/</v>
      </c>
      <c r="K214" s="8" t="s">
        <v>528</v>
      </c>
    </row>
    <row r="215" spans="1:11">
      <c r="A215" s="3" t="s">
        <v>517</v>
      </c>
      <c r="B215" s="5">
        <v>1970.0</v>
      </c>
      <c r="C215" s="3" t="s">
        <v>12</v>
      </c>
      <c r="D215" s="7">
        <v>477.0</v>
      </c>
      <c r="E215" s="3" t="s">
        <v>522</v>
      </c>
      <c r="F215" s="3" t="s">
        <v>14</v>
      </c>
      <c r="G215" s="3" t="s">
        <v>461</v>
      </c>
      <c r="H215" s="9" t="s">
        <v>461</v>
      </c>
      <c r="I215" s="9" t="s">
        <v>474</v>
      </c>
      <c r="J215" s="11" t="str">
        <f>HYPERLINK("https://rotamaguswines.com/product/dom-perignon-1970-8/","https://rotamaguswines.com/product/dom-perignon-1970-8/")</f>
        <v>https://rotamaguswines.com/product/dom-perignon-1970-8/</v>
      </c>
      <c r="K215" s="9" t="s">
        <v>529</v>
      </c>
    </row>
    <row r="216" spans="1:11">
      <c r="A216" s="2" t="s">
        <v>530</v>
      </c>
      <c r="B216" s="4">
        <v>1971.0</v>
      </c>
      <c r="C216" s="2" t="s">
        <v>12</v>
      </c>
      <c r="D216" s="6">
        <v>487.0</v>
      </c>
      <c r="E216" s="2" t="s">
        <v>531</v>
      </c>
      <c r="F216" s="2" t="s">
        <v>14</v>
      </c>
      <c r="G216" s="2" t="s">
        <v>461</v>
      </c>
      <c r="H216" s="8" t="s">
        <v>461</v>
      </c>
      <c r="I216" s="8" t="s">
        <v>474</v>
      </c>
      <c r="J216" s="10" t="str">
        <f>HYPERLINK("https://rotamaguswines.com/product/dom-perignon-1971/","https://rotamaguswines.com/product/dom-perignon-1971/")</f>
        <v>https://rotamaguswines.com/product/dom-perignon-1971/</v>
      </c>
      <c r="K216" s="8" t="s">
        <v>532</v>
      </c>
    </row>
    <row r="217" spans="1:11">
      <c r="A217" s="3" t="s">
        <v>530</v>
      </c>
      <c r="B217" s="5">
        <v>1971.0</v>
      </c>
      <c r="C217" s="3" t="s">
        <v>12</v>
      </c>
      <c r="D217" s="7">
        <v>447.0</v>
      </c>
      <c r="E217" s="3" t="s">
        <v>533</v>
      </c>
      <c r="F217" s="3" t="s">
        <v>14</v>
      </c>
      <c r="G217" s="3" t="s">
        <v>461</v>
      </c>
      <c r="H217" s="9" t="s">
        <v>461</v>
      </c>
      <c r="I217" s="9" t="s">
        <v>474</v>
      </c>
      <c r="J217" s="11" t="str">
        <f>HYPERLINK("https://rotamaguswines.com/product/dom-perignon-1971-2/","https://rotamaguswines.com/product/dom-perignon-1971-2/")</f>
        <v>https://rotamaguswines.com/product/dom-perignon-1971-2/</v>
      </c>
      <c r="K217" s="9" t="s">
        <v>534</v>
      </c>
    </row>
    <row r="218" spans="1:11">
      <c r="A218" s="2" t="s">
        <v>530</v>
      </c>
      <c r="B218" s="4">
        <v>1971.0</v>
      </c>
      <c r="C218" s="2" t="s">
        <v>12</v>
      </c>
      <c r="D218" s="6">
        <v>487.0</v>
      </c>
      <c r="E218" s="2" t="s">
        <v>531</v>
      </c>
      <c r="F218" s="2" t="s">
        <v>14</v>
      </c>
      <c r="G218" s="2" t="s">
        <v>461</v>
      </c>
      <c r="H218" s="8" t="s">
        <v>461</v>
      </c>
      <c r="I218" s="8" t="s">
        <v>474</v>
      </c>
      <c r="J218" s="10" t="str">
        <f>HYPERLINK("https://rotamaguswines.com/product/dom-perignon-1971-3/","https://rotamaguswines.com/product/dom-perignon-1971-3/")</f>
        <v>https://rotamaguswines.com/product/dom-perignon-1971-3/</v>
      </c>
      <c r="K218" s="8" t="s">
        <v>535</v>
      </c>
    </row>
    <row r="219" spans="1:11">
      <c r="A219" s="3" t="s">
        <v>530</v>
      </c>
      <c r="B219" s="5">
        <v>1971.0</v>
      </c>
      <c r="C219" s="3" t="s">
        <v>12</v>
      </c>
      <c r="D219" s="7">
        <v>487.0</v>
      </c>
      <c r="E219" s="3" t="s">
        <v>531</v>
      </c>
      <c r="F219" s="3" t="s">
        <v>14</v>
      </c>
      <c r="G219" s="3" t="s">
        <v>461</v>
      </c>
      <c r="H219" s="9" t="s">
        <v>461</v>
      </c>
      <c r="I219" s="9" t="s">
        <v>474</v>
      </c>
      <c r="J219" s="11" t="str">
        <f>HYPERLINK("https://rotamaguswines.com/product/dom-perignon-1971-4/","https://rotamaguswines.com/product/dom-perignon-1971-4/")</f>
        <v>https://rotamaguswines.com/product/dom-perignon-1971-4/</v>
      </c>
      <c r="K219" s="9" t="s">
        <v>536</v>
      </c>
    </row>
    <row r="220" spans="1:11">
      <c r="A220" s="2" t="s">
        <v>530</v>
      </c>
      <c r="B220" s="4">
        <v>1971.0</v>
      </c>
      <c r="C220" s="2" t="s">
        <v>12</v>
      </c>
      <c r="D220" s="6">
        <v>487.0</v>
      </c>
      <c r="E220" s="2" t="s">
        <v>531</v>
      </c>
      <c r="F220" s="2" t="s">
        <v>14</v>
      </c>
      <c r="G220" s="2" t="s">
        <v>461</v>
      </c>
      <c r="H220" s="8" t="s">
        <v>461</v>
      </c>
      <c r="I220" s="8" t="s">
        <v>474</v>
      </c>
      <c r="J220" s="10" t="str">
        <f>HYPERLINK("https://rotamaguswines.com/product/dom-perignon-1971-5/","https://rotamaguswines.com/product/dom-perignon-1971-5/")</f>
        <v>https://rotamaguswines.com/product/dom-perignon-1971-5/</v>
      </c>
      <c r="K220" s="8" t="s">
        <v>537</v>
      </c>
    </row>
    <row r="221" spans="1:11">
      <c r="A221" s="3" t="s">
        <v>530</v>
      </c>
      <c r="B221" s="5">
        <v>1971.0</v>
      </c>
      <c r="C221" s="3" t="s">
        <v>12</v>
      </c>
      <c r="D221" s="7">
        <v>507.0</v>
      </c>
      <c r="E221" s="3" t="s">
        <v>538</v>
      </c>
      <c r="F221" s="3" t="s">
        <v>14</v>
      </c>
      <c r="G221" s="3" t="s">
        <v>461</v>
      </c>
      <c r="H221" s="9" t="s">
        <v>461</v>
      </c>
      <c r="I221" s="9" t="s">
        <v>474</v>
      </c>
      <c r="J221" s="11" t="str">
        <f>HYPERLINK("https://rotamaguswines.com/product/dom-perignon-1971-6/","https://rotamaguswines.com/product/dom-perignon-1971-6/")</f>
        <v>https://rotamaguswines.com/product/dom-perignon-1971-6/</v>
      </c>
      <c r="K221" s="9" t="s">
        <v>539</v>
      </c>
    </row>
    <row r="222" spans="1:11">
      <c r="A222" s="2" t="s">
        <v>530</v>
      </c>
      <c r="B222" s="4">
        <v>1971.0</v>
      </c>
      <c r="C222" s="2" t="s">
        <v>12</v>
      </c>
      <c r="D222" s="6">
        <v>507.0</v>
      </c>
      <c r="E222" s="2" t="s">
        <v>538</v>
      </c>
      <c r="F222" s="2" t="s">
        <v>14</v>
      </c>
      <c r="G222" s="2" t="s">
        <v>461</v>
      </c>
      <c r="H222" s="8" t="s">
        <v>461</v>
      </c>
      <c r="I222" s="8" t="s">
        <v>474</v>
      </c>
      <c r="J222" s="10" t="str">
        <f>HYPERLINK("https://rotamaguswines.com/product/dom-perignon-1971-7/","https://rotamaguswines.com/product/dom-perignon-1971-7/")</f>
        <v>https://rotamaguswines.com/product/dom-perignon-1971-7/</v>
      </c>
      <c r="K222" s="8" t="s">
        <v>540</v>
      </c>
    </row>
    <row r="223" spans="1:11">
      <c r="A223" s="3" t="s">
        <v>530</v>
      </c>
      <c r="B223" s="5">
        <v>1971.0</v>
      </c>
      <c r="C223" s="3" t="s">
        <v>12</v>
      </c>
      <c r="D223" s="7">
        <v>507.0</v>
      </c>
      <c r="E223" s="3" t="s">
        <v>538</v>
      </c>
      <c r="F223" s="3" t="s">
        <v>14</v>
      </c>
      <c r="G223" s="3" t="s">
        <v>461</v>
      </c>
      <c r="H223" s="9" t="s">
        <v>461</v>
      </c>
      <c r="I223" s="9" t="s">
        <v>474</v>
      </c>
      <c r="J223" s="11" t="str">
        <f>HYPERLINK("https://rotamaguswines.com/product/dom-perignon-1971-8/","https://rotamaguswines.com/product/dom-perignon-1971-8/")</f>
        <v>https://rotamaguswines.com/product/dom-perignon-1971-8/</v>
      </c>
      <c r="K223" s="9" t="s">
        <v>541</v>
      </c>
    </row>
    <row r="224" spans="1:11">
      <c r="A224" s="2" t="s">
        <v>530</v>
      </c>
      <c r="B224" s="4">
        <v>1971.0</v>
      </c>
      <c r="C224" s="2" t="s">
        <v>12</v>
      </c>
      <c r="D224" s="6">
        <v>507.0</v>
      </c>
      <c r="E224" s="2" t="s">
        <v>538</v>
      </c>
      <c r="F224" s="2" t="s">
        <v>14</v>
      </c>
      <c r="G224" s="2" t="s">
        <v>461</v>
      </c>
      <c r="H224" s="8" t="s">
        <v>461</v>
      </c>
      <c r="I224" s="8" t="s">
        <v>474</v>
      </c>
      <c r="J224" s="10" t="str">
        <f>HYPERLINK("https://rotamaguswines.com/product/dom-perignon-1971-9/","https://rotamaguswines.com/product/dom-perignon-1971-9/")</f>
        <v>https://rotamaguswines.com/product/dom-perignon-1971-9/</v>
      </c>
      <c r="K224" s="8" t="s">
        <v>542</v>
      </c>
    </row>
    <row r="225" spans="1:11">
      <c r="A225" s="3" t="s">
        <v>530</v>
      </c>
      <c r="B225" s="5">
        <v>1971.0</v>
      </c>
      <c r="C225" s="3" t="s">
        <v>12</v>
      </c>
      <c r="D225" s="7">
        <v>507.0</v>
      </c>
      <c r="E225" s="3" t="s">
        <v>538</v>
      </c>
      <c r="F225" s="3" t="s">
        <v>14</v>
      </c>
      <c r="G225" s="3" t="s">
        <v>461</v>
      </c>
      <c r="H225" s="9" t="s">
        <v>461</v>
      </c>
      <c r="I225" s="9" t="s">
        <v>474</v>
      </c>
      <c r="J225" s="11" t="str">
        <f>HYPERLINK("https://rotamaguswines.com/product/dom-perignon-1971-10/","https://rotamaguswines.com/product/dom-perignon-1971-10/")</f>
        <v>https://rotamaguswines.com/product/dom-perignon-1971-10/</v>
      </c>
      <c r="K225" s="9" t="s">
        <v>543</v>
      </c>
    </row>
    <row r="226" spans="1:11">
      <c r="A226" s="2" t="s">
        <v>544</v>
      </c>
      <c r="B226" s="4">
        <v>1973.0</v>
      </c>
      <c r="C226" s="2" t="s">
        <v>12</v>
      </c>
      <c r="D226" s="6">
        <v>487.0</v>
      </c>
      <c r="E226" s="2" t="s">
        <v>545</v>
      </c>
      <c r="F226" s="2" t="s">
        <v>14</v>
      </c>
      <c r="G226" s="2" t="s">
        <v>461</v>
      </c>
      <c r="H226" s="8" t="s">
        <v>461</v>
      </c>
      <c r="I226" s="8" t="s">
        <v>474</v>
      </c>
      <c r="J226" s="10" t="str">
        <f>HYPERLINK("https://rotamaguswines.com/product/dom-perignon-1973/","https://rotamaguswines.com/product/dom-perignon-1973/")</f>
        <v>https://rotamaguswines.com/product/dom-perignon-1973/</v>
      </c>
      <c r="K226" s="8" t="s">
        <v>546</v>
      </c>
    </row>
    <row r="227" spans="1:11">
      <c r="A227" s="3" t="s">
        <v>544</v>
      </c>
      <c r="B227" s="5">
        <v>1973.0</v>
      </c>
      <c r="C227" s="3" t="s">
        <v>12</v>
      </c>
      <c r="D227" s="7">
        <v>487.0</v>
      </c>
      <c r="E227" s="3" t="s">
        <v>545</v>
      </c>
      <c r="F227" s="3" t="s">
        <v>14</v>
      </c>
      <c r="G227" s="3" t="s">
        <v>461</v>
      </c>
      <c r="H227" s="9" t="s">
        <v>461</v>
      </c>
      <c r="I227" s="9" t="s">
        <v>474</v>
      </c>
      <c r="J227" s="11" t="str">
        <f>HYPERLINK("https://rotamaguswines.com/product/dom-perignon-1973-2/","https://rotamaguswines.com/product/dom-perignon-1973-2/")</f>
        <v>https://rotamaguswines.com/product/dom-perignon-1973-2/</v>
      </c>
      <c r="K227" s="9" t="s">
        <v>547</v>
      </c>
    </row>
    <row r="228" spans="1:11">
      <c r="A228" s="2" t="s">
        <v>544</v>
      </c>
      <c r="B228" s="4">
        <v>1973.0</v>
      </c>
      <c r="C228" s="2" t="s">
        <v>12</v>
      </c>
      <c r="D228" s="6">
        <v>487.0</v>
      </c>
      <c r="E228" s="2" t="s">
        <v>545</v>
      </c>
      <c r="F228" s="2" t="s">
        <v>14</v>
      </c>
      <c r="G228" s="2" t="s">
        <v>461</v>
      </c>
      <c r="H228" s="8" t="s">
        <v>461</v>
      </c>
      <c r="I228" s="8" t="s">
        <v>474</v>
      </c>
      <c r="J228" s="10" t="str">
        <f>HYPERLINK("https://rotamaguswines.com/product/dom-perignon-1973-3/","https://rotamaguswines.com/product/dom-perignon-1973-3/")</f>
        <v>https://rotamaguswines.com/product/dom-perignon-1973-3/</v>
      </c>
      <c r="K228" s="8" t="s">
        <v>548</v>
      </c>
    </row>
    <row r="229" spans="1:11">
      <c r="A229" s="3" t="s">
        <v>544</v>
      </c>
      <c r="B229" s="5">
        <v>1973.0</v>
      </c>
      <c r="C229" s="3" t="s">
        <v>12</v>
      </c>
      <c r="D229" s="7">
        <v>327.0</v>
      </c>
      <c r="E229" s="3" t="s">
        <v>549</v>
      </c>
      <c r="F229" s="3" t="s">
        <v>14</v>
      </c>
      <c r="G229" s="3" t="s">
        <v>461</v>
      </c>
      <c r="H229" s="9" t="s">
        <v>461</v>
      </c>
      <c r="I229" s="9" t="s">
        <v>474</v>
      </c>
      <c r="J229" s="11" t="str">
        <f>HYPERLINK("https://rotamaguswines.com/product/dom-perignon-1973-4/","https://rotamaguswines.com/product/dom-perignon-1973-4/")</f>
        <v>https://rotamaguswines.com/product/dom-perignon-1973-4/</v>
      </c>
      <c r="K229" s="9" t="s">
        <v>550</v>
      </c>
    </row>
    <row r="230" spans="1:11">
      <c r="A230" s="2" t="s">
        <v>544</v>
      </c>
      <c r="B230" s="4">
        <v>1973.0</v>
      </c>
      <c r="C230" s="2" t="s">
        <v>12</v>
      </c>
      <c r="D230" s="6">
        <v>507.0</v>
      </c>
      <c r="E230" s="2" t="s">
        <v>511</v>
      </c>
      <c r="F230" s="2" t="s">
        <v>14</v>
      </c>
      <c r="G230" s="2" t="s">
        <v>461</v>
      </c>
      <c r="H230" s="8" t="s">
        <v>461</v>
      </c>
      <c r="I230" s="8" t="s">
        <v>474</v>
      </c>
      <c r="J230" s="10" t="str">
        <f>HYPERLINK("https://rotamaguswines.com/product/dom-perignon-1973-5/","https://rotamaguswines.com/product/dom-perignon-1973-5/")</f>
        <v>https://rotamaguswines.com/product/dom-perignon-1973-5/</v>
      </c>
      <c r="K230" s="8" t="s">
        <v>551</v>
      </c>
    </row>
    <row r="231" spans="1:11">
      <c r="A231" s="3" t="s">
        <v>544</v>
      </c>
      <c r="B231" s="5">
        <v>1973.0</v>
      </c>
      <c r="C231" s="3" t="s">
        <v>12</v>
      </c>
      <c r="D231" s="7">
        <v>507.0</v>
      </c>
      <c r="E231" s="3" t="s">
        <v>511</v>
      </c>
      <c r="F231" s="3" t="s">
        <v>14</v>
      </c>
      <c r="G231" s="3" t="s">
        <v>461</v>
      </c>
      <c r="H231" s="9" t="s">
        <v>461</v>
      </c>
      <c r="I231" s="9" t="s">
        <v>474</v>
      </c>
      <c r="J231" s="11" t="str">
        <f>HYPERLINK("https://rotamaguswines.com/product/dom-perignon-1973-6/","https://rotamaguswines.com/product/dom-perignon-1973-6/")</f>
        <v>https://rotamaguswines.com/product/dom-perignon-1973-6/</v>
      </c>
      <c r="K231" s="9" t="s">
        <v>552</v>
      </c>
    </row>
    <row r="232" spans="1:11">
      <c r="A232" s="2" t="s">
        <v>544</v>
      </c>
      <c r="B232" s="4">
        <v>1973.0</v>
      </c>
      <c r="C232" s="2" t="s">
        <v>12</v>
      </c>
      <c r="D232" s="6">
        <v>377.0</v>
      </c>
      <c r="E232" s="2" t="s">
        <v>553</v>
      </c>
      <c r="F232" s="2" t="s">
        <v>14</v>
      </c>
      <c r="G232" s="2" t="s">
        <v>461</v>
      </c>
      <c r="H232" s="8" t="s">
        <v>461</v>
      </c>
      <c r="I232" s="8" t="s">
        <v>474</v>
      </c>
      <c r="J232" s="10" t="str">
        <f>HYPERLINK("https://rotamaguswines.com/product/dom-perignon-1973-7/","https://rotamaguswines.com/product/dom-perignon-1973-7/")</f>
        <v>https://rotamaguswines.com/product/dom-perignon-1973-7/</v>
      </c>
      <c r="K232" s="8" t="s">
        <v>554</v>
      </c>
    </row>
    <row r="233" spans="1:11">
      <c r="A233" s="3" t="s">
        <v>544</v>
      </c>
      <c r="B233" s="5">
        <v>1973.0</v>
      </c>
      <c r="C233" s="3" t="s">
        <v>12</v>
      </c>
      <c r="D233" s="7">
        <v>377.0</v>
      </c>
      <c r="E233" s="3" t="s">
        <v>553</v>
      </c>
      <c r="F233" s="3" t="s">
        <v>14</v>
      </c>
      <c r="G233" s="3" t="s">
        <v>461</v>
      </c>
      <c r="H233" s="9" t="s">
        <v>461</v>
      </c>
      <c r="I233" s="9" t="s">
        <v>474</v>
      </c>
      <c r="J233" s="11" t="str">
        <f>HYPERLINK("https://rotamaguswines.com/product/dom-perignon-1973-8/","https://rotamaguswines.com/product/dom-perignon-1973-8/")</f>
        <v>https://rotamaguswines.com/product/dom-perignon-1973-8/</v>
      </c>
      <c r="K233" s="9" t="s">
        <v>555</v>
      </c>
    </row>
    <row r="234" spans="1:11">
      <c r="A234" s="2" t="s">
        <v>544</v>
      </c>
      <c r="B234" s="4">
        <v>1973.0</v>
      </c>
      <c r="C234" s="2" t="s">
        <v>12</v>
      </c>
      <c r="D234" s="6">
        <v>507.0</v>
      </c>
      <c r="E234" s="2" t="s">
        <v>511</v>
      </c>
      <c r="F234" s="2" t="s">
        <v>14</v>
      </c>
      <c r="G234" s="2" t="s">
        <v>461</v>
      </c>
      <c r="H234" s="8" t="s">
        <v>461</v>
      </c>
      <c r="I234" s="8" t="s">
        <v>474</v>
      </c>
      <c r="J234" s="10" t="str">
        <f>HYPERLINK("https://rotamaguswines.com/product/dom-perignon-1973-9/","https://rotamaguswines.com/product/dom-perignon-1973-9/")</f>
        <v>https://rotamaguswines.com/product/dom-perignon-1973-9/</v>
      </c>
      <c r="K234" s="8" t="s">
        <v>556</v>
      </c>
    </row>
    <row r="235" spans="1:11">
      <c r="A235" s="3" t="s">
        <v>544</v>
      </c>
      <c r="B235" s="5">
        <v>1973.0</v>
      </c>
      <c r="C235" s="3" t="s">
        <v>12</v>
      </c>
      <c r="D235" s="7">
        <v>507.0</v>
      </c>
      <c r="E235" s="3" t="s">
        <v>511</v>
      </c>
      <c r="F235" s="3" t="s">
        <v>14</v>
      </c>
      <c r="G235" s="3" t="s">
        <v>461</v>
      </c>
      <c r="H235" s="9" t="s">
        <v>461</v>
      </c>
      <c r="I235" s="9" t="s">
        <v>474</v>
      </c>
      <c r="J235" s="11" t="str">
        <f>HYPERLINK("https://rotamaguswines.com/product/dom-perignon-1973-10/","https://rotamaguswines.com/product/dom-perignon-1973-10/")</f>
        <v>https://rotamaguswines.com/product/dom-perignon-1973-10/</v>
      </c>
      <c r="K235" s="9" t="s">
        <v>557</v>
      </c>
    </row>
    <row r="236" spans="1:11">
      <c r="A236" s="2" t="s">
        <v>558</v>
      </c>
      <c r="B236" s="4">
        <v>1975.0</v>
      </c>
      <c r="C236" s="2" t="s">
        <v>132</v>
      </c>
      <c r="D236" s="6">
        <v>1100.0</v>
      </c>
      <c r="E236" s="2" t="s">
        <v>559</v>
      </c>
      <c r="F236" s="2" t="s">
        <v>14</v>
      </c>
      <c r="G236" s="2" t="s">
        <v>461</v>
      </c>
      <c r="H236" s="8" t="s">
        <v>461</v>
      </c>
      <c r="I236" s="8" t="s">
        <v>474</v>
      </c>
      <c r="J236" s="10" t="str">
        <f>HYPERLINK("https://rotamaguswines.com/product/dom-perignon-1975-magnum/","https://rotamaguswines.com/product/dom-perignon-1975-magnum/")</f>
        <v>https://rotamaguswines.com/product/dom-perignon-1975-magnum/</v>
      </c>
      <c r="K236" s="8" t="s">
        <v>560</v>
      </c>
    </row>
    <row r="237" spans="1:11">
      <c r="A237" s="3" t="s">
        <v>561</v>
      </c>
      <c r="B237" s="5">
        <v>1976.0</v>
      </c>
      <c r="C237" s="3" t="s">
        <v>12</v>
      </c>
      <c r="D237" s="7">
        <v>507.0</v>
      </c>
      <c r="E237" s="3" t="s">
        <v>562</v>
      </c>
      <c r="F237" s="3" t="s">
        <v>14</v>
      </c>
      <c r="G237" s="3" t="s">
        <v>461</v>
      </c>
      <c r="H237" s="9" t="s">
        <v>461</v>
      </c>
      <c r="I237" s="9" t="s">
        <v>474</v>
      </c>
      <c r="J237" s="11" t="str">
        <f>HYPERLINK("https://rotamaguswines.com/product/dom-perignon-1976-5/","https://rotamaguswines.com/product/dom-perignon-1976-5/")</f>
        <v>https://rotamaguswines.com/product/dom-perignon-1976-5/</v>
      </c>
      <c r="K237" s="9" t="s">
        <v>563</v>
      </c>
    </row>
    <row r="238" spans="1:11">
      <c r="A238" s="2" t="s">
        <v>561</v>
      </c>
      <c r="B238" s="4">
        <v>1976.0</v>
      </c>
      <c r="C238" s="2" t="s">
        <v>12</v>
      </c>
      <c r="D238" s="6">
        <v>507.0</v>
      </c>
      <c r="E238" s="2" t="s">
        <v>562</v>
      </c>
      <c r="F238" s="2" t="s">
        <v>14</v>
      </c>
      <c r="G238" s="2" t="s">
        <v>461</v>
      </c>
      <c r="H238" s="8" t="s">
        <v>461</v>
      </c>
      <c r="I238" s="8" t="s">
        <v>474</v>
      </c>
      <c r="J238" s="10" t="str">
        <f>HYPERLINK("https://rotamaguswines.com/product/dom-perignon-1976-7/","https://rotamaguswines.com/product/dom-perignon-1976-7/")</f>
        <v>https://rotamaguswines.com/product/dom-perignon-1976-7/</v>
      </c>
      <c r="K238" s="8" t="s">
        <v>564</v>
      </c>
    </row>
    <row r="239" spans="1:11">
      <c r="A239" s="3" t="s">
        <v>565</v>
      </c>
      <c r="B239" s="5">
        <v>1978.0</v>
      </c>
      <c r="C239" s="3" t="s">
        <v>12</v>
      </c>
      <c r="D239" s="7">
        <v>427.0</v>
      </c>
      <c r="E239" s="3" t="s">
        <v>566</v>
      </c>
      <c r="F239" s="3" t="s">
        <v>14</v>
      </c>
      <c r="G239" s="3" t="s">
        <v>461</v>
      </c>
      <c r="H239" s="9" t="s">
        <v>461</v>
      </c>
      <c r="I239" s="9" t="s">
        <v>474</v>
      </c>
      <c r="J239" s="11" t="str">
        <f>HYPERLINK("https://rotamaguswines.com/product/dom-perignon-1978/","https://rotamaguswines.com/product/dom-perignon-1978/")</f>
        <v>https://rotamaguswines.com/product/dom-perignon-1978/</v>
      </c>
      <c r="K239" s="9" t="s">
        <v>567</v>
      </c>
    </row>
    <row r="240" spans="1:11">
      <c r="A240" s="2" t="s">
        <v>565</v>
      </c>
      <c r="B240" s="4">
        <v>1978.0</v>
      </c>
      <c r="C240" s="2" t="s">
        <v>12</v>
      </c>
      <c r="D240" s="6">
        <v>447.0</v>
      </c>
      <c r="E240" s="2" t="s">
        <v>568</v>
      </c>
      <c r="F240" s="2" t="s">
        <v>14</v>
      </c>
      <c r="G240" s="2" t="s">
        <v>461</v>
      </c>
      <c r="H240" s="8" t="s">
        <v>461</v>
      </c>
      <c r="I240" s="8" t="s">
        <v>474</v>
      </c>
      <c r="J240" s="10" t="str">
        <f>HYPERLINK("https://rotamaguswines.com/product/dom-perignon-1978-2/","https://rotamaguswines.com/product/dom-perignon-1978-2/")</f>
        <v>https://rotamaguswines.com/product/dom-perignon-1978-2/</v>
      </c>
      <c r="K240" s="8" t="s">
        <v>569</v>
      </c>
    </row>
    <row r="241" spans="1:11">
      <c r="A241" s="3" t="s">
        <v>565</v>
      </c>
      <c r="B241" s="5">
        <v>1978.0</v>
      </c>
      <c r="C241" s="3" t="s">
        <v>12</v>
      </c>
      <c r="D241" s="7">
        <v>447.0</v>
      </c>
      <c r="E241" s="3" t="s">
        <v>568</v>
      </c>
      <c r="F241" s="3" t="s">
        <v>14</v>
      </c>
      <c r="G241" s="3" t="s">
        <v>461</v>
      </c>
      <c r="H241" s="9" t="s">
        <v>461</v>
      </c>
      <c r="I241" s="9" t="s">
        <v>474</v>
      </c>
      <c r="J241" s="11" t="str">
        <f>HYPERLINK("https://rotamaguswines.com/product/dom-perignon-1978-3/","https://rotamaguswines.com/product/dom-perignon-1978-3/")</f>
        <v>https://rotamaguswines.com/product/dom-perignon-1978-3/</v>
      </c>
      <c r="K241" s="9" t="s">
        <v>570</v>
      </c>
    </row>
    <row r="242" spans="1:11">
      <c r="A242" s="2" t="s">
        <v>565</v>
      </c>
      <c r="B242" s="4">
        <v>1978.0</v>
      </c>
      <c r="C242" s="2" t="s">
        <v>12</v>
      </c>
      <c r="D242" s="6">
        <v>447.0</v>
      </c>
      <c r="E242" s="2" t="s">
        <v>568</v>
      </c>
      <c r="F242" s="2" t="s">
        <v>14</v>
      </c>
      <c r="G242" s="2" t="s">
        <v>461</v>
      </c>
      <c r="H242" s="8" t="s">
        <v>461</v>
      </c>
      <c r="I242" s="8" t="s">
        <v>474</v>
      </c>
      <c r="J242" s="10" t="str">
        <f>HYPERLINK("https://rotamaguswines.com/product/dom-perignon-1978-4/","https://rotamaguswines.com/product/dom-perignon-1978-4/")</f>
        <v>https://rotamaguswines.com/product/dom-perignon-1978-4/</v>
      </c>
      <c r="K242" s="8" t="s">
        <v>571</v>
      </c>
    </row>
    <row r="243" spans="1:11">
      <c r="A243" s="3" t="s">
        <v>565</v>
      </c>
      <c r="B243" s="5">
        <v>1978.0</v>
      </c>
      <c r="C243" s="3" t="s">
        <v>12</v>
      </c>
      <c r="D243" s="7">
        <v>447.0</v>
      </c>
      <c r="E243" s="3" t="s">
        <v>568</v>
      </c>
      <c r="F243" s="3" t="s">
        <v>14</v>
      </c>
      <c r="G243" s="3" t="s">
        <v>461</v>
      </c>
      <c r="H243" s="9" t="s">
        <v>461</v>
      </c>
      <c r="I243" s="9" t="s">
        <v>474</v>
      </c>
      <c r="J243" s="11" t="str">
        <f>HYPERLINK("https://rotamaguswines.com/product/dom-perignon-1978-5/","https://rotamaguswines.com/product/dom-perignon-1978-5/")</f>
        <v>https://rotamaguswines.com/product/dom-perignon-1978-5/</v>
      </c>
      <c r="K243" s="9" t="s">
        <v>572</v>
      </c>
    </row>
    <row r="244" spans="1:11">
      <c r="A244" s="2" t="s">
        <v>565</v>
      </c>
      <c r="B244" s="4">
        <v>1978.0</v>
      </c>
      <c r="C244" s="2" t="s">
        <v>12</v>
      </c>
      <c r="D244" s="6">
        <v>427.0</v>
      </c>
      <c r="E244" s="2" t="s">
        <v>566</v>
      </c>
      <c r="F244" s="2" t="s">
        <v>14</v>
      </c>
      <c r="G244" s="2" t="s">
        <v>461</v>
      </c>
      <c r="H244" s="8" t="s">
        <v>461</v>
      </c>
      <c r="I244" s="8" t="s">
        <v>474</v>
      </c>
      <c r="J244" s="10" t="str">
        <f>HYPERLINK("https://rotamaguswines.com/product/dom-perignon-1978-6/","https://rotamaguswines.com/product/dom-perignon-1978-6/")</f>
        <v>https://rotamaguswines.com/product/dom-perignon-1978-6/</v>
      </c>
      <c r="K244" s="8" t="s">
        <v>573</v>
      </c>
    </row>
    <row r="245" spans="1:11">
      <c r="A245" s="3" t="s">
        <v>565</v>
      </c>
      <c r="B245" s="5">
        <v>1978.0</v>
      </c>
      <c r="C245" s="3" t="s">
        <v>12</v>
      </c>
      <c r="D245" s="7">
        <v>447.0</v>
      </c>
      <c r="E245" s="3" t="s">
        <v>568</v>
      </c>
      <c r="F245" s="3" t="s">
        <v>14</v>
      </c>
      <c r="G245" s="3" t="s">
        <v>461</v>
      </c>
      <c r="H245" s="9" t="s">
        <v>461</v>
      </c>
      <c r="I245" s="9" t="s">
        <v>474</v>
      </c>
      <c r="J245" s="11" t="str">
        <f>HYPERLINK("https://rotamaguswines.com/product/dom-perignon-1978-7/","https://rotamaguswines.com/product/dom-perignon-1978-7/")</f>
        <v>https://rotamaguswines.com/product/dom-perignon-1978-7/</v>
      </c>
      <c r="K245" s="9" t="s">
        <v>574</v>
      </c>
    </row>
    <row r="246" spans="1:11">
      <c r="A246" s="2" t="s">
        <v>565</v>
      </c>
      <c r="B246" s="4">
        <v>1978.0</v>
      </c>
      <c r="C246" s="2" t="s">
        <v>12</v>
      </c>
      <c r="D246" s="6">
        <v>447.0</v>
      </c>
      <c r="E246" s="2" t="s">
        <v>568</v>
      </c>
      <c r="F246" s="2" t="s">
        <v>14</v>
      </c>
      <c r="G246" s="2" t="s">
        <v>461</v>
      </c>
      <c r="H246" s="8" t="s">
        <v>461</v>
      </c>
      <c r="I246" s="8" t="s">
        <v>474</v>
      </c>
      <c r="J246" s="10" t="str">
        <f>HYPERLINK("https://rotamaguswines.com/product/dom-perignon-1978-8/","https://rotamaguswines.com/product/dom-perignon-1978-8/")</f>
        <v>https://rotamaguswines.com/product/dom-perignon-1978-8/</v>
      </c>
      <c r="K246" s="8" t="s">
        <v>575</v>
      </c>
    </row>
    <row r="247" spans="1:11">
      <c r="A247" s="3" t="s">
        <v>565</v>
      </c>
      <c r="B247" s="5">
        <v>1978.0</v>
      </c>
      <c r="C247" s="3" t="s">
        <v>12</v>
      </c>
      <c r="D247" s="7">
        <v>427.0</v>
      </c>
      <c r="E247" s="3" t="s">
        <v>566</v>
      </c>
      <c r="F247" s="3" t="s">
        <v>14</v>
      </c>
      <c r="G247" s="3" t="s">
        <v>461</v>
      </c>
      <c r="H247" s="9" t="s">
        <v>461</v>
      </c>
      <c r="I247" s="9" t="s">
        <v>474</v>
      </c>
      <c r="J247" s="11" t="str">
        <f>HYPERLINK("https://rotamaguswines.com/product/dom-perignon-1978-9/","https://rotamaguswines.com/product/dom-perignon-1978-9/")</f>
        <v>https://rotamaguswines.com/product/dom-perignon-1978-9/</v>
      </c>
      <c r="K247" s="9" t="s">
        <v>576</v>
      </c>
    </row>
    <row r="248" spans="1:11">
      <c r="A248" s="2" t="s">
        <v>565</v>
      </c>
      <c r="B248" s="4">
        <v>1978.0</v>
      </c>
      <c r="C248" s="2" t="s">
        <v>12</v>
      </c>
      <c r="D248" s="6">
        <v>447.0</v>
      </c>
      <c r="E248" s="2" t="s">
        <v>568</v>
      </c>
      <c r="F248" s="2" t="s">
        <v>14</v>
      </c>
      <c r="G248" s="2" t="s">
        <v>461</v>
      </c>
      <c r="H248" s="8" t="s">
        <v>461</v>
      </c>
      <c r="I248" s="8" t="s">
        <v>474</v>
      </c>
      <c r="J248" s="10" t="str">
        <f>HYPERLINK("https://rotamaguswines.com/product/dom-perignon-1978-10/","https://rotamaguswines.com/product/dom-perignon-1978-10/")</f>
        <v>https://rotamaguswines.com/product/dom-perignon-1978-10/</v>
      </c>
      <c r="K248" s="8" t="s">
        <v>577</v>
      </c>
    </row>
    <row r="249" spans="1:11">
      <c r="A249" s="3" t="s">
        <v>565</v>
      </c>
      <c r="B249" s="5">
        <v>1978.0</v>
      </c>
      <c r="C249" s="3" t="s">
        <v>12</v>
      </c>
      <c r="D249" s="7">
        <v>427.0</v>
      </c>
      <c r="E249" s="3" t="s">
        <v>566</v>
      </c>
      <c r="F249" s="3" t="s">
        <v>14</v>
      </c>
      <c r="G249" s="3" t="s">
        <v>461</v>
      </c>
      <c r="H249" s="9" t="s">
        <v>461</v>
      </c>
      <c r="I249" s="9" t="s">
        <v>474</v>
      </c>
      <c r="J249" s="11" t="str">
        <f>HYPERLINK("https://rotamaguswines.com/product/dom-perignon-1978-11/","https://rotamaguswines.com/product/dom-perignon-1978-11/")</f>
        <v>https://rotamaguswines.com/product/dom-perignon-1978-11/</v>
      </c>
      <c r="K249" s="9" t="s">
        <v>578</v>
      </c>
    </row>
    <row r="250" spans="1:11">
      <c r="A250" s="2" t="s">
        <v>579</v>
      </c>
      <c r="B250" s="4">
        <v>1980.0</v>
      </c>
      <c r="C250" s="2" t="s">
        <v>12</v>
      </c>
      <c r="D250" s="6">
        <v>347.0</v>
      </c>
      <c r="E250" s="2" t="s">
        <v>580</v>
      </c>
      <c r="F250" s="2" t="s">
        <v>14</v>
      </c>
      <c r="G250" s="2" t="s">
        <v>461</v>
      </c>
      <c r="H250" s="8" t="s">
        <v>461</v>
      </c>
      <c r="I250" s="8" t="s">
        <v>474</v>
      </c>
      <c r="J250" s="10" t="str">
        <f>HYPERLINK("https://rotamaguswines.com/product/dom-perignon-1980/","https://rotamaguswines.com/product/dom-perignon-1980/")</f>
        <v>https://rotamaguswines.com/product/dom-perignon-1980/</v>
      </c>
      <c r="K250" s="8" t="s">
        <v>581</v>
      </c>
    </row>
    <row r="251" spans="1:11">
      <c r="A251" s="3" t="s">
        <v>579</v>
      </c>
      <c r="B251" s="5">
        <v>1980.0</v>
      </c>
      <c r="C251" s="3" t="s">
        <v>12</v>
      </c>
      <c r="D251" s="7">
        <v>327.0</v>
      </c>
      <c r="E251" s="3" t="s">
        <v>582</v>
      </c>
      <c r="F251" s="3" t="s">
        <v>14</v>
      </c>
      <c r="G251" s="3" t="s">
        <v>461</v>
      </c>
      <c r="H251" s="9" t="s">
        <v>461</v>
      </c>
      <c r="I251" s="9" t="s">
        <v>474</v>
      </c>
      <c r="J251" s="11" t="str">
        <f>HYPERLINK("https://rotamaguswines.com/product/dom-perignon-1980-2/","https://rotamaguswines.com/product/dom-perignon-1980-2/")</f>
        <v>https://rotamaguswines.com/product/dom-perignon-1980-2/</v>
      </c>
      <c r="K251" s="9" t="s">
        <v>583</v>
      </c>
    </row>
    <row r="252" spans="1:11">
      <c r="A252" s="2" t="s">
        <v>579</v>
      </c>
      <c r="B252" s="4">
        <v>1980.0</v>
      </c>
      <c r="C252" s="2" t="s">
        <v>12</v>
      </c>
      <c r="D252" s="6">
        <v>347.0</v>
      </c>
      <c r="E252" s="2" t="s">
        <v>580</v>
      </c>
      <c r="F252" s="2" t="s">
        <v>14</v>
      </c>
      <c r="G252" s="2" t="s">
        <v>461</v>
      </c>
      <c r="H252" s="8" t="s">
        <v>461</v>
      </c>
      <c r="I252" s="8" t="s">
        <v>474</v>
      </c>
      <c r="J252" s="10" t="str">
        <f>HYPERLINK("https://rotamaguswines.com/product/dom-perignon-1980-3/","https://rotamaguswines.com/product/dom-perignon-1980-3/")</f>
        <v>https://rotamaguswines.com/product/dom-perignon-1980-3/</v>
      </c>
      <c r="K252" s="8" t="s">
        <v>584</v>
      </c>
    </row>
    <row r="253" spans="1:11">
      <c r="A253" s="3" t="s">
        <v>579</v>
      </c>
      <c r="B253" s="5">
        <v>1980.0</v>
      </c>
      <c r="C253" s="3" t="s">
        <v>12</v>
      </c>
      <c r="D253" s="7">
        <v>367.0</v>
      </c>
      <c r="E253" s="3" t="s">
        <v>585</v>
      </c>
      <c r="F253" s="3" t="s">
        <v>14</v>
      </c>
      <c r="G253" s="3" t="s">
        <v>461</v>
      </c>
      <c r="H253" s="9" t="s">
        <v>461</v>
      </c>
      <c r="I253" s="9" t="s">
        <v>474</v>
      </c>
      <c r="J253" s="11" t="str">
        <f>HYPERLINK("https://rotamaguswines.com/product/dom-perignon-1980-4/","https://rotamaguswines.com/product/dom-perignon-1980-4/")</f>
        <v>https://rotamaguswines.com/product/dom-perignon-1980-4/</v>
      </c>
      <c r="K253" s="9" t="s">
        <v>586</v>
      </c>
    </row>
    <row r="254" spans="1:11">
      <c r="A254" s="2" t="s">
        <v>579</v>
      </c>
      <c r="B254" s="4">
        <v>1980.0</v>
      </c>
      <c r="C254" s="2" t="s">
        <v>12</v>
      </c>
      <c r="D254" s="6">
        <v>367.0</v>
      </c>
      <c r="E254" s="2" t="s">
        <v>585</v>
      </c>
      <c r="F254" s="2" t="s">
        <v>14</v>
      </c>
      <c r="G254" s="2" t="s">
        <v>461</v>
      </c>
      <c r="H254" s="8" t="s">
        <v>461</v>
      </c>
      <c r="I254" s="8" t="s">
        <v>474</v>
      </c>
      <c r="J254" s="10" t="str">
        <f>HYPERLINK("https://rotamaguswines.com/product/dom-perignon-1980-5/","https://rotamaguswines.com/product/dom-perignon-1980-5/")</f>
        <v>https://rotamaguswines.com/product/dom-perignon-1980-5/</v>
      </c>
      <c r="K254" s="8" t="s">
        <v>587</v>
      </c>
    </row>
    <row r="255" spans="1:11">
      <c r="A255" s="3" t="s">
        <v>579</v>
      </c>
      <c r="B255" s="5">
        <v>1980.0</v>
      </c>
      <c r="C255" s="3" t="s">
        <v>12</v>
      </c>
      <c r="D255" s="7">
        <v>347.0</v>
      </c>
      <c r="E255" s="3" t="s">
        <v>580</v>
      </c>
      <c r="F255" s="3" t="s">
        <v>14</v>
      </c>
      <c r="G255" s="3" t="s">
        <v>461</v>
      </c>
      <c r="H255" s="9" t="s">
        <v>461</v>
      </c>
      <c r="I255" s="9" t="s">
        <v>474</v>
      </c>
      <c r="J255" s="11" t="str">
        <f>HYPERLINK("https://rotamaguswines.com/product/dom-perignon-1980-6/","https://rotamaguswines.com/product/dom-perignon-1980-6/")</f>
        <v>https://rotamaguswines.com/product/dom-perignon-1980-6/</v>
      </c>
      <c r="K255" s="9" t="s">
        <v>588</v>
      </c>
    </row>
    <row r="256" spans="1:11">
      <c r="A256" s="2" t="s">
        <v>579</v>
      </c>
      <c r="B256" s="4">
        <v>1980.0</v>
      </c>
      <c r="C256" s="2" t="s">
        <v>12</v>
      </c>
      <c r="D256" s="6">
        <v>367.0</v>
      </c>
      <c r="E256" s="2" t="s">
        <v>585</v>
      </c>
      <c r="F256" s="2" t="s">
        <v>14</v>
      </c>
      <c r="G256" s="2" t="s">
        <v>461</v>
      </c>
      <c r="H256" s="8" t="s">
        <v>461</v>
      </c>
      <c r="I256" s="8" t="s">
        <v>474</v>
      </c>
      <c r="J256" s="10" t="str">
        <f>HYPERLINK("https://rotamaguswines.com/product/dom-perignon-1980-7/","https://rotamaguswines.com/product/dom-perignon-1980-7/")</f>
        <v>https://rotamaguswines.com/product/dom-perignon-1980-7/</v>
      </c>
      <c r="K256" s="8" t="s">
        <v>589</v>
      </c>
    </row>
    <row r="257" spans="1:11">
      <c r="A257" s="3" t="s">
        <v>579</v>
      </c>
      <c r="B257" s="5">
        <v>1980.0</v>
      </c>
      <c r="C257" s="3" t="s">
        <v>12</v>
      </c>
      <c r="D257" s="7">
        <v>367.0</v>
      </c>
      <c r="E257" s="3" t="s">
        <v>585</v>
      </c>
      <c r="F257" s="3" t="s">
        <v>14</v>
      </c>
      <c r="G257" s="3" t="s">
        <v>461</v>
      </c>
      <c r="H257" s="9" t="s">
        <v>461</v>
      </c>
      <c r="I257" s="9" t="s">
        <v>474</v>
      </c>
      <c r="J257" s="11" t="str">
        <f>HYPERLINK("https://rotamaguswines.com/product/dom-perignon-1980-8/","https://rotamaguswines.com/product/dom-perignon-1980-8/")</f>
        <v>https://rotamaguswines.com/product/dom-perignon-1980-8/</v>
      </c>
      <c r="K257" s="9" t="s">
        <v>590</v>
      </c>
    </row>
    <row r="258" spans="1:11">
      <c r="A258" s="2" t="s">
        <v>579</v>
      </c>
      <c r="B258" s="4">
        <v>1980.0</v>
      </c>
      <c r="C258" s="2" t="s">
        <v>12</v>
      </c>
      <c r="D258" s="6">
        <v>327.0</v>
      </c>
      <c r="E258" s="2" t="s">
        <v>582</v>
      </c>
      <c r="F258" s="2" t="s">
        <v>14</v>
      </c>
      <c r="G258" s="2" t="s">
        <v>461</v>
      </c>
      <c r="H258" s="8" t="s">
        <v>461</v>
      </c>
      <c r="I258" s="8" t="s">
        <v>474</v>
      </c>
      <c r="J258" s="10" t="str">
        <f>HYPERLINK("https://rotamaguswines.com/product/dom-perignon-1980-9/","https://rotamaguswines.com/product/dom-perignon-1980-9/")</f>
        <v>https://rotamaguswines.com/product/dom-perignon-1980-9/</v>
      </c>
      <c r="K258" s="8" t="s">
        <v>591</v>
      </c>
    </row>
    <row r="259" spans="1:11">
      <c r="A259" s="3" t="s">
        <v>579</v>
      </c>
      <c r="B259" s="5">
        <v>1980.0</v>
      </c>
      <c r="C259" s="3" t="s">
        <v>12</v>
      </c>
      <c r="D259" s="7">
        <v>367.0</v>
      </c>
      <c r="E259" s="3" t="s">
        <v>585</v>
      </c>
      <c r="F259" s="3" t="s">
        <v>14</v>
      </c>
      <c r="G259" s="3" t="s">
        <v>461</v>
      </c>
      <c r="H259" s="9" t="s">
        <v>461</v>
      </c>
      <c r="I259" s="9" t="s">
        <v>474</v>
      </c>
      <c r="J259" s="11" t="str">
        <f>HYPERLINK("https://rotamaguswines.com/product/dom-perignon-1980-10/","https://rotamaguswines.com/product/dom-perignon-1980-10/")</f>
        <v>https://rotamaguswines.com/product/dom-perignon-1980-10/</v>
      </c>
      <c r="K259" s="9" t="s">
        <v>592</v>
      </c>
    </row>
    <row r="260" spans="1:11">
      <c r="A260" s="2" t="s">
        <v>579</v>
      </c>
      <c r="B260" s="4">
        <v>1980.0</v>
      </c>
      <c r="C260" s="2" t="s">
        <v>12</v>
      </c>
      <c r="D260" s="6">
        <v>367.0</v>
      </c>
      <c r="E260" s="2" t="s">
        <v>585</v>
      </c>
      <c r="F260" s="2" t="s">
        <v>14</v>
      </c>
      <c r="G260" s="2" t="s">
        <v>461</v>
      </c>
      <c r="H260" s="8" t="s">
        <v>461</v>
      </c>
      <c r="I260" s="8" t="s">
        <v>474</v>
      </c>
      <c r="J260" s="10" t="str">
        <f>HYPERLINK("https://rotamaguswines.com/product/dom-perignon-1980-11/","https://rotamaguswines.com/product/dom-perignon-1980-11/")</f>
        <v>https://rotamaguswines.com/product/dom-perignon-1980-11/</v>
      </c>
      <c r="K260" s="8" t="s">
        <v>593</v>
      </c>
    </row>
    <row r="261" spans="1:11">
      <c r="A261" s="3" t="s">
        <v>594</v>
      </c>
      <c r="B261" s="5">
        <v>1983.0</v>
      </c>
      <c r="C261" s="3" t="s">
        <v>12</v>
      </c>
      <c r="D261" s="7">
        <v>367.0</v>
      </c>
      <c r="E261" s="3" t="s">
        <v>595</v>
      </c>
      <c r="F261" s="3" t="s">
        <v>14</v>
      </c>
      <c r="G261" s="3" t="s">
        <v>461</v>
      </c>
      <c r="H261" s="9" t="s">
        <v>461</v>
      </c>
      <c r="I261" s="9" t="s">
        <v>474</v>
      </c>
      <c r="J261" s="11" t="str">
        <f>HYPERLINK("https://rotamaguswines.com/product/dom-perignon-1983/","https://rotamaguswines.com/product/dom-perignon-1983/")</f>
        <v>https://rotamaguswines.com/product/dom-perignon-1983/</v>
      </c>
      <c r="K261" s="9" t="s">
        <v>596</v>
      </c>
    </row>
    <row r="262" spans="1:11">
      <c r="A262" s="2" t="s">
        <v>594</v>
      </c>
      <c r="B262" s="4">
        <v>1983.0</v>
      </c>
      <c r="C262" s="2" t="s">
        <v>12</v>
      </c>
      <c r="D262" s="6">
        <v>367.0</v>
      </c>
      <c r="E262" s="2" t="s">
        <v>595</v>
      </c>
      <c r="F262" s="2" t="s">
        <v>14</v>
      </c>
      <c r="G262" s="2" t="s">
        <v>461</v>
      </c>
      <c r="H262" s="8" t="s">
        <v>461</v>
      </c>
      <c r="I262" s="8" t="s">
        <v>474</v>
      </c>
      <c r="J262" s="10" t="str">
        <f>HYPERLINK("https://rotamaguswines.com/product/dom-perignon-1983-3/","https://rotamaguswines.com/product/dom-perignon-1983-3/")</f>
        <v>https://rotamaguswines.com/product/dom-perignon-1983-3/</v>
      </c>
      <c r="K262" s="8" t="s">
        <v>597</v>
      </c>
    </row>
    <row r="263" spans="1:11">
      <c r="A263" s="3" t="s">
        <v>598</v>
      </c>
      <c r="B263" s="5">
        <v>1993.0</v>
      </c>
      <c r="C263" s="3" t="s">
        <v>12</v>
      </c>
      <c r="D263" s="7">
        <v>167.0</v>
      </c>
      <c r="E263" s="3"/>
      <c r="F263" s="3" t="s">
        <v>14</v>
      </c>
      <c r="G263" s="3" t="s">
        <v>461</v>
      </c>
      <c r="H263" s="9" t="s">
        <v>461</v>
      </c>
      <c r="I263" s="9" t="s">
        <v>474</v>
      </c>
      <c r="J263" s="11" t="str">
        <f>HYPERLINK("https://rotamaguswines.com/product/dom-perignon-1993/","https://rotamaguswines.com/product/dom-perignon-1993/")</f>
        <v>https://rotamaguswines.com/product/dom-perignon-1993/</v>
      </c>
      <c r="K263" s="9" t="s">
        <v>599</v>
      </c>
    </row>
    <row r="264" spans="1:11">
      <c r="A264" s="2" t="s">
        <v>600</v>
      </c>
      <c r="B264" s="4">
        <v>1973.0</v>
      </c>
      <c r="C264" s="2" t="s">
        <v>132</v>
      </c>
      <c r="D264" s="6">
        <v>517.0</v>
      </c>
      <c r="E264" s="2" t="s">
        <v>601</v>
      </c>
      <c r="F264" s="2" t="s">
        <v>14</v>
      </c>
      <c r="G264" s="2" t="s">
        <v>461</v>
      </c>
      <c r="H264" s="8" t="s">
        <v>461</v>
      </c>
      <c r="I264" s="8" t="s">
        <v>602</v>
      </c>
      <c r="J264" s="10" t="str">
        <f>HYPERLINK("https://rotamaguswines.com/product/perrier-jouet-la-belle-epoque-1973-magnum/","https://rotamaguswines.com/product/perrier-jouet-la-belle-epoque-1973-magnum/")</f>
        <v>https://rotamaguswines.com/product/perrier-jouet-la-belle-epoque-1973-magnum/</v>
      </c>
      <c r="K264" s="8" t="s">
        <v>603</v>
      </c>
    </row>
    <row r="265" spans="1:11">
      <c r="A265" s="3" t="s">
        <v>604</v>
      </c>
      <c r="B265" s="5">
        <v>1945.0</v>
      </c>
      <c r="C265" s="3" t="s">
        <v>12</v>
      </c>
      <c r="D265" s="7">
        <v>1100.0</v>
      </c>
      <c r="E265" s="3" t="s">
        <v>605</v>
      </c>
      <c r="F265" s="3" t="s">
        <v>14</v>
      </c>
      <c r="G265" s="3" t="s">
        <v>461</v>
      </c>
      <c r="H265" s="9" t="s">
        <v>461</v>
      </c>
      <c r="I265" s="9" t="s">
        <v>606</v>
      </c>
      <c r="J265" s="11" t="str">
        <f>HYPERLINK("https://rotamaguswines.com/product/pol-roger-brut-reserve-1945/","https://rotamaguswines.com/product/pol-roger-brut-reserve-1945/")</f>
        <v>https://rotamaguswines.com/product/pol-roger-brut-reserve-1945/</v>
      </c>
      <c r="K265" s="9" t="s">
        <v>607</v>
      </c>
    </row>
    <row r="266" spans="1:11">
      <c r="A266" s="2" t="s">
        <v>608</v>
      </c>
      <c r="B266" s="4">
        <v>1978.0</v>
      </c>
      <c r="C266" s="2" t="s">
        <v>12</v>
      </c>
      <c r="D266" s="6">
        <v>227.0</v>
      </c>
      <c r="E266" s="2"/>
      <c r="F266" s="2" t="s">
        <v>14</v>
      </c>
      <c r="G266" s="2" t="s">
        <v>461</v>
      </c>
      <c r="H266" s="8" t="s">
        <v>461</v>
      </c>
      <c r="I266" s="8" t="s">
        <v>609</v>
      </c>
      <c r="J266" s="10" t="str">
        <f>HYPERLINK("https://rotamaguswines.com/product/taittinger-collection-1978-victor-vasarely/","https://rotamaguswines.com/product/taittinger-collection-1978-victor-vasarely/")</f>
        <v>https://rotamaguswines.com/product/taittinger-collection-1978-victor-vasarely/</v>
      </c>
      <c r="K266" s="8" t="s">
        <v>610</v>
      </c>
    </row>
    <row r="267" spans="1:11">
      <c r="A267" s="3" t="s">
        <v>611</v>
      </c>
      <c r="B267" s="5">
        <v>1981.0</v>
      </c>
      <c r="C267" s="3" t="s">
        <v>12</v>
      </c>
      <c r="D267" s="7">
        <v>227.0</v>
      </c>
      <c r="E267" s="3"/>
      <c r="F267" s="3" t="s">
        <v>14</v>
      </c>
      <c r="G267" s="3" t="s">
        <v>461</v>
      </c>
      <c r="H267" s="9" t="s">
        <v>461</v>
      </c>
      <c r="I267" s="9" t="s">
        <v>609</v>
      </c>
      <c r="J267" s="11" t="str">
        <f>HYPERLINK("https://rotamaguswines.com/product/taittinger-collection-1981-arman/","https://rotamaguswines.com/product/taittinger-collection-1981-arman/")</f>
        <v>https://rotamaguswines.com/product/taittinger-collection-1981-arman/</v>
      </c>
      <c r="K267" s="9" t="s">
        <v>612</v>
      </c>
    </row>
    <row r="268" spans="1:11">
      <c r="A268" s="2" t="s">
        <v>613</v>
      </c>
      <c r="B268" s="4">
        <v>1985.0</v>
      </c>
      <c r="C268" s="2" t="s">
        <v>12</v>
      </c>
      <c r="D268" s="6">
        <v>227.0</v>
      </c>
      <c r="E268" s="2"/>
      <c r="F268" s="2" t="s">
        <v>14</v>
      </c>
      <c r="G268" s="2" t="s">
        <v>461</v>
      </c>
      <c r="H268" s="8" t="s">
        <v>461</v>
      </c>
      <c r="I268" s="8" t="s">
        <v>609</v>
      </c>
      <c r="J268" s="10" t="str">
        <f>HYPERLINK("https://rotamaguswines.com/product/taittinger-collection-1985-roy-lichtenstein/","https://rotamaguswines.com/product/taittinger-collection-1985-roy-lichtenstein/")</f>
        <v>https://rotamaguswines.com/product/taittinger-collection-1985-roy-lichtenstein/</v>
      </c>
      <c r="K268" s="8" t="s">
        <v>614</v>
      </c>
    </row>
    <row r="269" spans="1:11">
      <c r="A269" s="3" t="s">
        <v>613</v>
      </c>
      <c r="B269" s="5">
        <v>1985.0</v>
      </c>
      <c r="C269" s="3" t="s">
        <v>12</v>
      </c>
      <c r="D269" s="7">
        <v>227.0</v>
      </c>
      <c r="E269" s="3"/>
      <c r="F269" s="3" t="s">
        <v>14</v>
      </c>
      <c r="G269" s="3" t="s">
        <v>461</v>
      </c>
      <c r="H269" s="9" t="s">
        <v>461</v>
      </c>
      <c r="I269" s="9" t="s">
        <v>609</v>
      </c>
      <c r="J269" s="11" t="str">
        <f>HYPERLINK("https://rotamaguswines.com/product/taittinger-collection-1985-roy-lichtenstein-2/","https://rotamaguswines.com/product/taittinger-collection-1985-roy-lichtenstein-2/")</f>
        <v>https://rotamaguswines.com/product/taittinger-collection-1985-roy-lichtenstein-2/</v>
      </c>
      <c r="K269" s="9" t="s">
        <v>615</v>
      </c>
    </row>
    <row r="270" spans="1:11">
      <c r="A270" s="2" t="s">
        <v>613</v>
      </c>
      <c r="B270" s="4">
        <v>1985.0</v>
      </c>
      <c r="C270" s="2" t="s">
        <v>12</v>
      </c>
      <c r="D270" s="6">
        <v>227.0</v>
      </c>
      <c r="E270" s="2"/>
      <c r="F270" s="2" t="s">
        <v>14</v>
      </c>
      <c r="G270" s="2" t="s">
        <v>461</v>
      </c>
      <c r="H270" s="8" t="s">
        <v>461</v>
      </c>
      <c r="I270" s="8" t="s">
        <v>609</v>
      </c>
      <c r="J270" s="10" t="str">
        <f>HYPERLINK("https://rotamaguswines.com/product/taittinger-collection-1985-roy-lichtenstein-3/","https://rotamaguswines.com/product/taittinger-collection-1985-roy-lichtenstein-3/")</f>
        <v>https://rotamaguswines.com/product/taittinger-collection-1985-roy-lichtenstein-3/</v>
      </c>
      <c r="K270" s="8" t="s">
        <v>616</v>
      </c>
    </row>
    <row r="271" spans="1:11">
      <c r="A271" s="3" t="s">
        <v>613</v>
      </c>
      <c r="B271" s="5">
        <v>1985.0</v>
      </c>
      <c r="C271" s="3" t="s">
        <v>12</v>
      </c>
      <c r="D271" s="7">
        <v>227.0</v>
      </c>
      <c r="E271" s="3"/>
      <c r="F271" s="3" t="s">
        <v>14</v>
      </c>
      <c r="G271" s="3" t="s">
        <v>461</v>
      </c>
      <c r="H271" s="9" t="s">
        <v>461</v>
      </c>
      <c r="I271" s="9" t="s">
        <v>609</v>
      </c>
      <c r="J271" s="11" t="str">
        <f>HYPERLINK("https://rotamaguswines.com/product/taittinger-collection-1985-roy-lichtenstein-4/","https://rotamaguswines.com/product/taittinger-collection-1985-roy-lichtenstein-4/")</f>
        <v>https://rotamaguswines.com/product/taittinger-collection-1985-roy-lichtenstein-4/</v>
      </c>
      <c r="K271" s="9" t="s">
        <v>617</v>
      </c>
    </row>
    <row r="272" spans="1:11">
      <c r="A272" s="2" t="s">
        <v>618</v>
      </c>
      <c r="B272" s="4">
        <v>1992.0</v>
      </c>
      <c r="C272" s="2" t="s">
        <v>12</v>
      </c>
      <c r="D272" s="6">
        <v>227.0</v>
      </c>
      <c r="E272" s="2"/>
      <c r="F272" s="2" t="s">
        <v>14</v>
      </c>
      <c r="G272" s="2" t="s">
        <v>461</v>
      </c>
      <c r="H272" s="8" t="s">
        <v>461</v>
      </c>
      <c r="I272" s="8" t="s">
        <v>609</v>
      </c>
      <c r="J272" s="10" t="str">
        <f>HYPERLINK("https://rotamaguswines.com/product/taittinger-collection-1992-matta/","https://rotamaguswines.com/product/taittinger-collection-1992-matta/")</f>
        <v>https://rotamaguswines.com/product/taittinger-collection-1992-matta/</v>
      </c>
      <c r="K272" s="8" t="s">
        <v>619</v>
      </c>
    </row>
    <row r="273" spans="1:11">
      <c r="A273" s="3" t="s">
        <v>618</v>
      </c>
      <c r="B273" s="5">
        <v>1992.0</v>
      </c>
      <c r="C273" s="3" t="s">
        <v>12</v>
      </c>
      <c r="D273" s="7">
        <v>227.0</v>
      </c>
      <c r="E273" s="3"/>
      <c r="F273" s="3" t="s">
        <v>14</v>
      </c>
      <c r="G273" s="3" t="s">
        <v>461</v>
      </c>
      <c r="H273" s="9" t="s">
        <v>461</v>
      </c>
      <c r="I273" s="9" t="s">
        <v>609</v>
      </c>
      <c r="J273" s="11" t="str">
        <f>HYPERLINK("https://rotamaguswines.com/product/taittinger-collection-1992-matta-2/","https://rotamaguswines.com/product/taittinger-collection-1992-matta-2/")</f>
        <v>https://rotamaguswines.com/product/taittinger-collection-1992-matta-2/</v>
      </c>
      <c r="K273" s="9" t="s">
        <v>620</v>
      </c>
    </row>
    <row r="274" spans="1:11">
      <c r="A274" s="2" t="s">
        <v>618</v>
      </c>
      <c r="B274" s="4">
        <v>1992.0</v>
      </c>
      <c r="C274" s="2" t="s">
        <v>12</v>
      </c>
      <c r="D274" s="6">
        <v>227.0</v>
      </c>
      <c r="E274" s="2"/>
      <c r="F274" s="2" t="s">
        <v>14</v>
      </c>
      <c r="G274" s="2" t="s">
        <v>461</v>
      </c>
      <c r="H274" s="8" t="s">
        <v>461</v>
      </c>
      <c r="I274" s="8" t="s">
        <v>609</v>
      </c>
      <c r="J274" s="10" t="str">
        <f>HYPERLINK("https://rotamaguswines.com/product/taittinger-collection-1992-matta-3/","https://rotamaguswines.com/product/taittinger-collection-1992-matta-3/")</f>
        <v>https://rotamaguswines.com/product/taittinger-collection-1992-matta-3/</v>
      </c>
      <c r="K274" s="8" t="s">
        <v>621</v>
      </c>
    </row>
    <row r="275" spans="1:11">
      <c r="A275" s="3" t="s">
        <v>622</v>
      </c>
      <c r="B275" s="5">
        <v>1971.0</v>
      </c>
      <c r="C275" s="3" t="s">
        <v>132</v>
      </c>
      <c r="D275" s="7">
        <v>307.0</v>
      </c>
      <c r="E275" s="3" t="s">
        <v>409</v>
      </c>
      <c r="F275" s="3" t="s">
        <v>14</v>
      </c>
      <c r="G275" s="3" t="s">
        <v>623</v>
      </c>
      <c r="H275" s="9" t="s">
        <v>624</v>
      </c>
      <c r="I275" s="9" t="s">
        <v>625</v>
      </c>
      <c r="J275" s="11" t="str">
        <f>HYPERLINK("https://rotamaguswines.com/product/chateauneuf-du-pape-mont-redon-1971-magnum/","https://rotamaguswines.com/product/chateauneuf-du-pape-mont-redon-1971-magnum/")</f>
        <v>https://rotamaguswines.com/product/chateauneuf-du-pape-mont-redon-1971-magnum/</v>
      </c>
      <c r="K275" s="9" t="s">
        <v>626</v>
      </c>
    </row>
    <row r="276" spans="1:11">
      <c r="A276" s="2" t="s">
        <v>627</v>
      </c>
      <c r="B276" s="4">
        <v>1978.0</v>
      </c>
      <c r="C276" s="2" t="s">
        <v>132</v>
      </c>
      <c r="D276" s="6">
        <v>3500.0</v>
      </c>
      <c r="E276" s="2" t="s">
        <v>628</v>
      </c>
      <c r="F276" s="2" t="s">
        <v>14</v>
      </c>
      <c r="G276" s="2" t="s">
        <v>623</v>
      </c>
      <c r="H276" s="8" t="s">
        <v>629</v>
      </c>
      <c r="I276" s="8" t="s">
        <v>630</v>
      </c>
      <c r="J276" s="10" t="str">
        <f>HYPERLINK("https://rotamaguswines.com/product/hermitage-rouge-jaboulet-la-chapelle-1978-magnum/","https://rotamaguswines.com/product/hermitage-rouge-jaboulet-la-chapelle-1978-magnum/")</f>
        <v>https://rotamaguswines.com/product/hermitage-rouge-jaboulet-la-chapelle-1978-magnum/</v>
      </c>
      <c r="K276" s="8" t="s">
        <v>631</v>
      </c>
    </row>
    <row r="277" spans="1:11">
      <c r="A277" s="3" t="s">
        <v>627</v>
      </c>
      <c r="B277" s="5">
        <v>1978.0</v>
      </c>
      <c r="C277" s="3" t="s">
        <v>132</v>
      </c>
      <c r="D277" s="7">
        <v>3500.0</v>
      </c>
      <c r="E277" s="3" t="s">
        <v>628</v>
      </c>
      <c r="F277" s="3" t="s">
        <v>14</v>
      </c>
      <c r="G277" s="3" t="s">
        <v>623</v>
      </c>
      <c r="H277" s="9" t="s">
        <v>629</v>
      </c>
      <c r="I277" s="9" t="s">
        <v>630</v>
      </c>
      <c r="J277" s="11" t="str">
        <f>HYPERLINK("https://rotamaguswines.com/product/hermitage-rouge-jaboulet-la-chapelle-1978-magnum-2/","https://rotamaguswines.com/product/hermitage-rouge-jaboulet-la-chapelle-1978-magnum-2/")</f>
        <v>https://rotamaguswines.com/product/hermitage-rouge-jaboulet-la-chapelle-1978-magnum-2/</v>
      </c>
      <c r="K277" s="9" t="s">
        <v>632</v>
      </c>
    </row>
    <row r="278" spans="1:11">
      <c r="A278" s="2" t="s">
        <v>633</v>
      </c>
      <c r="B278" s="4">
        <v>1971.0</v>
      </c>
      <c r="C278" s="2" t="s">
        <v>12</v>
      </c>
      <c r="D278" s="6">
        <v>167.0</v>
      </c>
      <c r="E278" s="2" t="s">
        <v>634</v>
      </c>
      <c r="F278" s="2" t="s">
        <v>635</v>
      </c>
      <c r="G278" s="2" t="s">
        <v>636</v>
      </c>
      <c r="H278" s="8" t="s">
        <v>637</v>
      </c>
      <c r="I278" s="8" t="s">
        <v>638</v>
      </c>
      <c r="J278" s="10" t="str">
        <f>HYPERLINK("https://rotamaguswines.com/product/barbaresco-castello-di-nieve-santo-stefano-1971/","https://rotamaguswines.com/product/barbaresco-castello-di-nieve-santo-stefano-1971/")</f>
        <v>https://rotamaguswines.com/product/barbaresco-castello-di-nieve-santo-stefano-1971/</v>
      </c>
      <c r="K278" s="8" t="s">
        <v>639</v>
      </c>
    </row>
    <row r="279" spans="1:11">
      <c r="A279" s="3" t="s">
        <v>640</v>
      </c>
      <c r="B279" s="5">
        <v>1971.0</v>
      </c>
      <c r="C279" s="3" t="s">
        <v>641</v>
      </c>
      <c r="D279" s="7">
        <v>1260.0</v>
      </c>
      <c r="E279" s="3" t="s">
        <v>642</v>
      </c>
      <c r="F279" s="3" t="s">
        <v>635</v>
      </c>
      <c r="G279" s="3" t="s">
        <v>636</v>
      </c>
      <c r="H279" s="9" t="s">
        <v>637</v>
      </c>
      <c r="I279" s="9" t="s">
        <v>643</v>
      </c>
      <c r="J279" s="11" t="str">
        <f>HYPERLINK("https://rotamaguswines.com/product/barbaresco-gaja-1971-3-78l/","https://rotamaguswines.com/product/barbaresco-gaja-1971-3-78l/")</f>
        <v>https://rotamaguswines.com/product/barbaresco-gaja-1971-3-78l/</v>
      </c>
      <c r="K279" s="9" t="s">
        <v>644</v>
      </c>
    </row>
    <row r="280" spans="1:11">
      <c r="A280" s="2" t="s">
        <v>645</v>
      </c>
      <c r="B280" s="4">
        <v>1947.0</v>
      </c>
      <c r="C280" s="2" t="s">
        <v>12</v>
      </c>
      <c r="D280" s="6">
        <v>177.0</v>
      </c>
      <c r="E280" s="2"/>
      <c r="F280" s="2" t="s">
        <v>635</v>
      </c>
      <c r="G280" s="2" t="s">
        <v>636</v>
      </c>
      <c r="H280" s="8" t="s">
        <v>646</v>
      </c>
      <c r="I280" s="8" t="s">
        <v>647</v>
      </c>
      <c r="J280" s="10" t="str">
        <f>HYPERLINK("https://rotamaguswines.com/product/barolo-borgogno-antichi-vigneti-propri-riserva-1947/","https://rotamaguswines.com/product/barolo-borgogno-antichi-vigneti-propri-riserva-1947/")</f>
        <v>https://rotamaguswines.com/product/barolo-borgogno-antichi-vigneti-propri-riserva-1947/</v>
      </c>
      <c r="K280" s="8" t="s">
        <v>648</v>
      </c>
    </row>
    <row r="281" spans="1:11">
      <c r="A281" s="3" t="s">
        <v>645</v>
      </c>
      <c r="B281" s="5">
        <v>1947.0</v>
      </c>
      <c r="C281" s="3" t="s">
        <v>12</v>
      </c>
      <c r="D281" s="7">
        <v>177.0</v>
      </c>
      <c r="E281" s="3"/>
      <c r="F281" s="3" t="s">
        <v>635</v>
      </c>
      <c r="G281" s="3" t="s">
        <v>636</v>
      </c>
      <c r="H281" s="9" t="s">
        <v>646</v>
      </c>
      <c r="I281" s="9" t="s">
        <v>647</v>
      </c>
      <c r="J281" s="11" t="str">
        <f>HYPERLINK("https://rotamaguswines.com/product/barolo-borgogno-antichi-vigneti-propri-riserva-1947-2/","https://rotamaguswines.com/product/barolo-borgogno-antichi-vigneti-propri-riserva-1947-2/")</f>
        <v>https://rotamaguswines.com/product/barolo-borgogno-antichi-vigneti-propri-riserva-1947-2/</v>
      </c>
      <c r="K281" s="9" t="s">
        <v>649</v>
      </c>
    </row>
    <row r="282" spans="1:11">
      <c r="A282" s="2" t="s">
        <v>650</v>
      </c>
      <c r="B282" s="4">
        <v>1941.0</v>
      </c>
      <c r="C282" s="2" t="s">
        <v>12</v>
      </c>
      <c r="D282" s="6">
        <v>1100.0</v>
      </c>
      <c r="E282" s="2" t="s">
        <v>651</v>
      </c>
      <c r="F282" s="2" t="s">
        <v>635</v>
      </c>
      <c r="G282" s="2" t="s">
        <v>636</v>
      </c>
      <c r="H282" s="8" t="s">
        <v>646</v>
      </c>
      <c r="I282" s="8" t="s">
        <v>652</v>
      </c>
      <c r="J282" s="10" t="str">
        <f>HYPERLINK("https://rotamaguswines.com/product/barolo-conterno-giacomo-monfortino-riserva-1941/","https://rotamaguswines.com/product/barolo-conterno-giacomo-monfortino-riserva-1941/")</f>
        <v>https://rotamaguswines.com/product/barolo-conterno-giacomo-monfortino-riserva-1941/</v>
      </c>
      <c r="K282" s="8" t="s">
        <v>653</v>
      </c>
    </row>
    <row r="283" spans="1:11">
      <c r="A283" s="3" t="s">
        <v>654</v>
      </c>
      <c r="B283" s="5">
        <v>1945.0</v>
      </c>
      <c r="C283" s="3" t="s">
        <v>12</v>
      </c>
      <c r="D283" s="7">
        <v>1047.0</v>
      </c>
      <c r="E283" s="3"/>
      <c r="F283" s="3" t="s">
        <v>635</v>
      </c>
      <c r="G283" s="3" t="s">
        <v>636</v>
      </c>
      <c r="H283" s="9" t="s">
        <v>646</v>
      </c>
      <c r="I283" s="9" t="s">
        <v>652</v>
      </c>
      <c r="J283" s="11" t="str">
        <f>HYPERLINK("https://rotamaguswines.com/product/barolo-conterno-giacomo-monfortino-riserva-1945/","https://rotamaguswines.com/product/barolo-conterno-giacomo-monfortino-riserva-1945/")</f>
        <v>https://rotamaguswines.com/product/barolo-conterno-giacomo-monfortino-riserva-1945/</v>
      </c>
      <c r="K283" s="9" t="s">
        <v>655</v>
      </c>
    </row>
    <row r="284" spans="1:11">
      <c r="A284" s="2" t="s">
        <v>654</v>
      </c>
      <c r="B284" s="4">
        <v>1945.0</v>
      </c>
      <c r="C284" s="2" t="s">
        <v>12</v>
      </c>
      <c r="D284" s="6">
        <v>1047.0</v>
      </c>
      <c r="E284" s="2"/>
      <c r="F284" s="2" t="s">
        <v>635</v>
      </c>
      <c r="G284" s="2" t="s">
        <v>636</v>
      </c>
      <c r="H284" s="8" t="s">
        <v>646</v>
      </c>
      <c r="I284" s="8" t="s">
        <v>652</v>
      </c>
      <c r="J284" s="10" t="str">
        <f>HYPERLINK("https://rotamaguswines.com/product/barolo-conterno-giacomo-monfortino-riserva-1945-2/","https://rotamaguswines.com/product/barolo-conterno-giacomo-monfortino-riserva-1945-2/")</f>
        <v>https://rotamaguswines.com/product/barolo-conterno-giacomo-monfortino-riserva-1945-2/</v>
      </c>
      <c r="K284" s="8" t="s">
        <v>656</v>
      </c>
    </row>
    <row r="285" spans="1:11">
      <c r="A285" s="3" t="s">
        <v>657</v>
      </c>
      <c r="B285" s="5">
        <v>1952.0</v>
      </c>
      <c r="C285" s="3" t="s">
        <v>658</v>
      </c>
      <c r="D285" s="7">
        <v>16000.0</v>
      </c>
      <c r="E285" s="3" t="s">
        <v>659</v>
      </c>
      <c r="F285" s="3" t="s">
        <v>635</v>
      </c>
      <c r="G285" s="3" t="s">
        <v>636</v>
      </c>
      <c r="H285" s="9" t="s">
        <v>646</v>
      </c>
      <c r="I285" s="9" t="s">
        <v>652</v>
      </c>
      <c r="J285" s="11" t="str">
        <f>HYPERLINK("https://rotamaguswines.com/product/barolo-conterno-giacomo-monfortino-riserva-1952-129l/","https://rotamaguswines.com/product/barolo-conterno-giacomo-monfortino-riserva-1952-129l/")</f>
        <v>https://rotamaguswines.com/product/barolo-conterno-giacomo-monfortino-riserva-1952-129l/</v>
      </c>
      <c r="K285" s="9" t="s">
        <v>660</v>
      </c>
    </row>
    <row r="286" spans="1:11">
      <c r="A286" s="2" t="s">
        <v>661</v>
      </c>
      <c r="B286" s="4">
        <v>1955.0</v>
      </c>
      <c r="C286" s="2" t="s">
        <v>132</v>
      </c>
      <c r="D286" s="6">
        <v>3150.0</v>
      </c>
      <c r="E286" s="2" t="s">
        <v>662</v>
      </c>
      <c r="F286" s="2" t="s">
        <v>635</v>
      </c>
      <c r="G286" s="2" t="s">
        <v>636</v>
      </c>
      <c r="H286" s="8" t="s">
        <v>646</v>
      </c>
      <c r="I286" s="8" t="s">
        <v>652</v>
      </c>
      <c r="J286" s="10" t="str">
        <f>HYPERLINK("https://rotamaguswines.com/product/barolo-conterno-giacomo-monfortino-riserva-1955-magnum/","https://rotamaguswines.com/product/barolo-conterno-giacomo-monfortino-riserva-1955-magnum/")</f>
        <v>https://rotamaguswines.com/product/barolo-conterno-giacomo-monfortino-riserva-1955-magnum/</v>
      </c>
      <c r="K286" s="8" t="s">
        <v>663</v>
      </c>
    </row>
    <row r="287" spans="1:11">
      <c r="A287" s="3" t="s">
        <v>664</v>
      </c>
      <c r="B287" s="5">
        <v>1958.0</v>
      </c>
      <c r="C287" s="3" t="s">
        <v>12</v>
      </c>
      <c r="D287" s="7">
        <v>1120.0</v>
      </c>
      <c r="E287" s="3" t="s">
        <v>665</v>
      </c>
      <c r="F287" s="3" t="s">
        <v>635</v>
      </c>
      <c r="G287" s="3" t="s">
        <v>636</v>
      </c>
      <c r="H287" s="9" t="s">
        <v>646</v>
      </c>
      <c r="I287" s="9" t="s">
        <v>652</v>
      </c>
      <c r="J287" s="11" t="str">
        <f>HYPERLINK("https://rotamaguswines.com/product/barolo-conterno-giacomo-monfortino-riserva-1958/","https://rotamaguswines.com/product/barolo-conterno-giacomo-monfortino-riserva-1958/")</f>
        <v>https://rotamaguswines.com/product/barolo-conterno-giacomo-monfortino-riserva-1958/</v>
      </c>
      <c r="K287" s="9" t="s">
        <v>666</v>
      </c>
    </row>
    <row r="288" spans="1:11">
      <c r="A288" s="2" t="s">
        <v>667</v>
      </c>
      <c r="B288" s="4">
        <v>1958.0</v>
      </c>
      <c r="C288" s="2" t="s">
        <v>658</v>
      </c>
      <c r="D288" s="6">
        <v>16000.0</v>
      </c>
      <c r="E288" s="2" t="s">
        <v>668</v>
      </c>
      <c r="F288" s="2" t="s">
        <v>635</v>
      </c>
      <c r="G288" s="2" t="s">
        <v>636</v>
      </c>
      <c r="H288" s="8" t="s">
        <v>646</v>
      </c>
      <c r="I288" s="8" t="s">
        <v>652</v>
      </c>
      <c r="J288" s="10" t="str">
        <f>HYPERLINK("https://rotamaguswines.com/product/barolo-conterno-giacomo-monfortino-riserva-1958-133l/","https://rotamaguswines.com/product/barolo-conterno-giacomo-monfortino-riserva-1958-133l/")</f>
        <v>https://rotamaguswines.com/product/barolo-conterno-giacomo-monfortino-riserva-1958-133l/</v>
      </c>
      <c r="K288" s="8" t="s">
        <v>669</v>
      </c>
    </row>
    <row r="289" spans="1:11">
      <c r="A289" s="3" t="s">
        <v>670</v>
      </c>
      <c r="B289" s="5">
        <v>1961.0</v>
      </c>
      <c r="C289" s="3" t="s">
        <v>12</v>
      </c>
      <c r="D289" s="7">
        <v>1190.0</v>
      </c>
      <c r="E289" s="3" t="s">
        <v>671</v>
      </c>
      <c r="F289" s="3" t="s">
        <v>635</v>
      </c>
      <c r="G289" s="3" t="s">
        <v>636</v>
      </c>
      <c r="H289" s="9" t="s">
        <v>646</v>
      </c>
      <c r="I289" s="9" t="s">
        <v>652</v>
      </c>
      <c r="J289" s="11" t="str">
        <f>HYPERLINK("https://rotamaguswines.com/product/barolo-conterno-giacomo-monfortino-riserva-1961/","https://rotamaguswines.com/product/barolo-conterno-giacomo-monfortino-riserva-1961/")</f>
        <v>https://rotamaguswines.com/product/barolo-conterno-giacomo-monfortino-riserva-1961/</v>
      </c>
      <c r="K289" s="9" t="s">
        <v>672</v>
      </c>
    </row>
    <row r="290" spans="1:11">
      <c r="A290" s="2" t="s">
        <v>670</v>
      </c>
      <c r="B290" s="4">
        <v>1961.0</v>
      </c>
      <c r="C290" s="2" t="s">
        <v>12</v>
      </c>
      <c r="D290" s="6">
        <v>1100.0</v>
      </c>
      <c r="E290" s="2"/>
      <c r="F290" s="2" t="s">
        <v>635</v>
      </c>
      <c r="G290" s="2" t="s">
        <v>636</v>
      </c>
      <c r="H290" s="8" t="s">
        <v>646</v>
      </c>
      <c r="I290" s="8" t="s">
        <v>652</v>
      </c>
      <c r="J290" s="10" t="str">
        <f>HYPERLINK("https://rotamaguswines.com/product/barolo-conterno-giacomo-monfortino-riserva-1961-2/","https://rotamaguswines.com/product/barolo-conterno-giacomo-monfortino-riserva-1961-2/")</f>
        <v>https://rotamaguswines.com/product/barolo-conterno-giacomo-monfortino-riserva-1961-2/</v>
      </c>
      <c r="K290" s="8" t="s">
        <v>673</v>
      </c>
    </row>
    <row r="291" spans="1:11">
      <c r="A291" s="3" t="s">
        <v>670</v>
      </c>
      <c r="B291" s="5">
        <v>1961.0</v>
      </c>
      <c r="C291" s="3" t="s">
        <v>12</v>
      </c>
      <c r="D291" s="7">
        <v>1190.0</v>
      </c>
      <c r="E291" s="3" t="s">
        <v>671</v>
      </c>
      <c r="F291" s="3" t="s">
        <v>635</v>
      </c>
      <c r="G291" s="3" t="s">
        <v>636</v>
      </c>
      <c r="H291" s="9" t="s">
        <v>646</v>
      </c>
      <c r="I291" s="9" t="s">
        <v>652</v>
      </c>
      <c r="J291" s="11" t="str">
        <f>HYPERLINK("https://rotamaguswines.com/product/barolo-conterno-giacomo-monfortino-riserva-1961-3/","https://rotamaguswines.com/product/barolo-conterno-giacomo-monfortino-riserva-1961-3/")</f>
        <v>https://rotamaguswines.com/product/barolo-conterno-giacomo-monfortino-riserva-1961-3/</v>
      </c>
      <c r="K291" s="9" t="s">
        <v>674</v>
      </c>
    </row>
    <row r="292" spans="1:11">
      <c r="A292" s="2" t="s">
        <v>670</v>
      </c>
      <c r="B292" s="4">
        <v>1961.0</v>
      </c>
      <c r="C292" s="2" t="s">
        <v>12</v>
      </c>
      <c r="D292" s="6">
        <v>1190.0</v>
      </c>
      <c r="E292" s="2" t="s">
        <v>671</v>
      </c>
      <c r="F292" s="2" t="s">
        <v>635</v>
      </c>
      <c r="G292" s="2" t="s">
        <v>636</v>
      </c>
      <c r="H292" s="8" t="s">
        <v>646</v>
      </c>
      <c r="I292" s="8" t="s">
        <v>652</v>
      </c>
      <c r="J292" s="10" t="str">
        <f>HYPERLINK("https://rotamaguswines.com/product/barolo-conterno-giacomo-monfortino-riserva-1961-4/","https://rotamaguswines.com/product/barolo-conterno-giacomo-monfortino-riserva-1961-4/")</f>
        <v>https://rotamaguswines.com/product/barolo-conterno-giacomo-monfortino-riserva-1961-4/</v>
      </c>
      <c r="K292" s="8" t="s">
        <v>675</v>
      </c>
    </row>
    <row r="293" spans="1:11">
      <c r="A293" s="3" t="s">
        <v>670</v>
      </c>
      <c r="B293" s="5">
        <v>1961.0</v>
      </c>
      <c r="C293" s="3" t="s">
        <v>12</v>
      </c>
      <c r="D293" s="7">
        <v>1190.0</v>
      </c>
      <c r="E293" s="3" t="s">
        <v>671</v>
      </c>
      <c r="F293" s="3" t="s">
        <v>635</v>
      </c>
      <c r="G293" s="3" t="s">
        <v>636</v>
      </c>
      <c r="H293" s="9" t="s">
        <v>646</v>
      </c>
      <c r="I293" s="9" t="s">
        <v>652</v>
      </c>
      <c r="J293" s="11" t="str">
        <f>HYPERLINK("https://rotamaguswines.com/product/barolo-conterno-giacomo-monfortino-riserva-1961-5/","https://rotamaguswines.com/product/barolo-conterno-giacomo-monfortino-riserva-1961-5/")</f>
        <v>https://rotamaguswines.com/product/barolo-conterno-giacomo-monfortino-riserva-1961-5/</v>
      </c>
      <c r="K293" s="9" t="s">
        <v>676</v>
      </c>
    </row>
    <row r="294" spans="1:11">
      <c r="A294" s="2" t="s">
        <v>670</v>
      </c>
      <c r="B294" s="4">
        <v>1961.0</v>
      </c>
      <c r="C294" s="2" t="s">
        <v>12</v>
      </c>
      <c r="D294" s="6">
        <v>1190.0</v>
      </c>
      <c r="E294" s="2" t="s">
        <v>671</v>
      </c>
      <c r="F294" s="2" t="s">
        <v>635</v>
      </c>
      <c r="G294" s="2" t="s">
        <v>636</v>
      </c>
      <c r="H294" s="8" t="s">
        <v>646</v>
      </c>
      <c r="I294" s="8" t="s">
        <v>652</v>
      </c>
      <c r="J294" s="10" t="str">
        <f>HYPERLINK("https://rotamaguswines.com/product/barolo-conterno-giacomo-monfortino-riserva-1961-6/","https://rotamaguswines.com/product/barolo-conterno-giacomo-monfortino-riserva-1961-6/")</f>
        <v>https://rotamaguswines.com/product/barolo-conterno-giacomo-monfortino-riserva-1961-6/</v>
      </c>
      <c r="K294" s="8" t="s">
        <v>677</v>
      </c>
    </row>
    <row r="295" spans="1:11">
      <c r="A295" s="3" t="s">
        <v>670</v>
      </c>
      <c r="B295" s="5">
        <v>1961.0</v>
      </c>
      <c r="C295" s="3" t="s">
        <v>12</v>
      </c>
      <c r="D295" s="7">
        <v>1190.0</v>
      </c>
      <c r="E295" s="3" t="s">
        <v>671</v>
      </c>
      <c r="F295" s="3" t="s">
        <v>635</v>
      </c>
      <c r="G295" s="3" t="s">
        <v>636</v>
      </c>
      <c r="H295" s="9" t="s">
        <v>646</v>
      </c>
      <c r="I295" s="9" t="s">
        <v>652</v>
      </c>
      <c r="J295" s="11" t="str">
        <f>HYPERLINK("https://rotamaguswines.com/product/barolo-conterno-giacomo-monfortino-riserva-1961-7/","https://rotamaguswines.com/product/barolo-conterno-giacomo-monfortino-riserva-1961-7/")</f>
        <v>https://rotamaguswines.com/product/barolo-conterno-giacomo-monfortino-riserva-1961-7/</v>
      </c>
      <c r="K295" s="9" t="s">
        <v>678</v>
      </c>
    </row>
    <row r="296" spans="1:11">
      <c r="A296" s="2" t="s">
        <v>670</v>
      </c>
      <c r="B296" s="4">
        <v>1961.0</v>
      </c>
      <c r="C296" s="2" t="s">
        <v>12</v>
      </c>
      <c r="D296" s="6">
        <v>1190.0</v>
      </c>
      <c r="E296" s="2" t="s">
        <v>671</v>
      </c>
      <c r="F296" s="2" t="s">
        <v>635</v>
      </c>
      <c r="G296" s="2" t="s">
        <v>636</v>
      </c>
      <c r="H296" s="8" t="s">
        <v>646</v>
      </c>
      <c r="I296" s="8" t="s">
        <v>652</v>
      </c>
      <c r="J296" s="10" t="str">
        <f>HYPERLINK("https://rotamaguswines.com/product/barolo-conterno-giacomo-monfortino-riserva-1961-8/","https://rotamaguswines.com/product/barolo-conterno-giacomo-monfortino-riserva-1961-8/")</f>
        <v>https://rotamaguswines.com/product/barolo-conterno-giacomo-monfortino-riserva-1961-8/</v>
      </c>
      <c r="K296" s="8" t="s">
        <v>679</v>
      </c>
    </row>
    <row r="297" spans="1:11">
      <c r="A297" s="3" t="s">
        <v>670</v>
      </c>
      <c r="B297" s="5">
        <v>1961.0</v>
      </c>
      <c r="C297" s="3" t="s">
        <v>12</v>
      </c>
      <c r="D297" s="7">
        <v>1190.0</v>
      </c>
      <c r="E297" s="3" t="s">
        <v>671</v>
      </c>
      <c r="F297" s="3" t="s">
        <v>635</v>
      </c>
      <c r="G297" s="3" t="s">
        <v>636</v>
      </c>
      <c r="H297" s="9" t="s">
        <v>646</v>
      </c>
      <c r="I297" s="9" t="s">
        <v>652</v>
      </c>
      <c r="J297" s="11" t="str">
        <f>HYPERLINK("https://rotamaguswines.com/product/barolo-conterno-giacomo-monfortino-riserva-1961-9/","https://rotamaguswines.com/product/barolo-conterno-giacomo-monfortino-riserva-1961-9/")</f>
        <v>https://rotamaguswines.com/product/barolo-conterno-giacomo-monfortino-riserva-1961-9/</v>
      </c>
      <c r="K297" s="9" t="s">
        <v>680</v>
      </c>
    </row>
    <row r="298" spans="1:11">
      <c r="A298" s="2" t="s">
        <v>681</v>
      </c>
      <c r="B298" s="4">
        <v>1961.0</v>
      </c>
      <c r="C298" s="2" t="s">
        <v>658</v>
      </c>
      <c r="D298" s="6">
        <v>16000.0</v>
      </c>
      <c r="E298" s="2" t="s">
        <v>659</v>
      </c>
      <c r="F298" s="2" t="s">
        <v>635</v>
      </c>
      <c r="G298" s="2" t="s">
        <v>636</v>
      </c>
      <c r="H298" s="8" t="s">
        <v>646</v>
      </c>
      <c r="I298" s="8" t="s">
        <v>652</v>
      </c>
      <c r="J298" s="10" t="str">
        <f>HYPERLINK("https://rotamaguswines.com/product/barolo-conterno-giacomo-monfortino-riserva-1961-135l/","https://rotamaguswines.com/product/barolo-conterno-giacomo-monfortino-riserva-1961-135l/")</f>
        <v>https://rotamaguswines.com/product/barolo-conterno-giacomo-monfortino-riserva-1961-135l/</v>
      </c>
      <c r="K298" s="8" t="s">
        <v>682</v>
      </c>
    </row>
    <row r="299" spans="1:11">
      <c r="A299" s="3" t="s">
        <v>683</v>
      </c>
      <c r="B299" s="5">
        <v>1970.0</v>
      </c>
      <c r="C299" s="3" t="s">
        <v>641</v>
      </c>
      <c r="D299" s="7">
        <v>1500.0</v>
      </c>
      <c r="E299" s="3" t="s">
        <v>684</v>
      </c>
      <c r="F299" s="3" t="s">
        <v>635</v>
      </c>
      <c r="G299" s="3" t="s">
        <v>636</v>
      </c>
      <c r="H299" s="9" t="s">
        <v>646</v>
      </c>
      <c r="I299" s="9" t="s">
        <v>685</v>
      </c>
      <c r="J299" s="11" t="str">
        <f>HYPERLINK("https://rotamaguswines.com/product/barolo-giuseppe-mascarello-bussia-soprana-1970-378l/","https://rotamaguswines.com/product/barolo-giuseppe-mascarello-bussia-soprana-1970-378l/")</f>
        <v>https://rotamaguswines.com/product/barolo-giuseppe-mascarello-bussia-soprana-1970-378l/</v>
      </c>
      <c r="K299" s="9" t="s">
        <v>686</v>
      </c>
    </row>
    <row r="300" spans="1:11">
      <c r="A300" s="2" t="s">
        <v>683</v>
      </c>
      <c r="B300" s="4">
        <v>1970.0</v>
      </c>
      <c r="C300" s="2" t="s">
        <v>641</v>
      </c>
      <c r="D300" s="6">
        <v>1500.0</v>
      </c>
      <c r="E300" s="2" t="s">
        <v>684</v>
      </c>
      <c r="F300" s="2" t="s">
        <v>635</v>
      </c>
      <c r="G300" s="2" t="s">
        <v>636</v>
      </c>
      <c r="H300" s="8" t="s">
        <v>646</v>
      </c>
      <c r="I300" s="8" t="s">
        <v>685</v>
      </c>
      <c r="J300" s="10" t="str">
        <f>HYPERLINK("https://rotamaguswines.com/product/barolo-giuseppe-mascarello-bussia-soprana-1970-378l-2/","https://rotamaguswines.com/product/barolo-giuseppe-mascarello-bussia-soprana-1970-378l-2/")</f>
        <v>https://rotamaguswines.com/product/barolo-giuseppe-mascarello-bussia-soprana-1970-378l-2/</v>
      </c>
      <c r="K300" s="8" t="s">
        <v>687</v>
      </c>
    </row>
    <row r="301" spans="1:11">
      <c r="A301" s="3" t="s">
        <v>688</v>
      </c>
      <c r="B301" s="5">
        <v>1947.0</v>
      </c>
      <c r="C301" s="3" t="s">
        <v>12</v>
      </c>
      <c r="D301" s="7">
        <v>277.0</v>
      </c>
      <c r="E301" s="3"/>
      <c r="F301" s="3" t="s">
        <v>635</v>
      </c>
      <c r="G301" s="3" t="s">
        <v>636</v>
      </c>
      <c r="H301" s="9" t="s">
        <v>646</v>
      </c>
      <c r="I301" s="9" t="s">
        <v>689</v>
      </c>
      <c r="J301" s="11" t="str">
        <f>HYPERLINK("https://rotamaguswines.com/product/barolo-marchesi-di-barolo-gia-opera-pia-1947-gran-riserva/","https://rotamaguswines.com/product/barolo-marchesi-di-barolo-gia-opera-pia-1947-gran-riserva/")</f>
        <v>https://rotamaguswines.com/product/barolo-marchesi-di-barolo-gia-opera-pia-1947-gran-riserva/</v>
      </c>
      <c r="K301" s="9" t="s">
        <v>690</v>
      </c>
    </row>
    <row r="302" spans="1:11">
      <c r="A302" s="2" t="s">
        <v>688</v>
      </c>
      <c r="B302" s="4">
        <v>1947.0</v>
      </c>
      <c r="C302" s="2" t="s">
        <v>12</v>
      </c>
      <c r="D302" s="6">
        <v>277.0</v>
      </c>
      <c r="E302" s="2"/>
      <c r="F302" s="2" t="s">
        <v>635</v>
      </c>
      <c r="G302" s="2" t="s">
        <v>636</v>
      </c>
      <c r="H302" s="8" t="s">
        <v>646</v>
      </c>
      <c r="I302" s="8" t="s">
        <v>689</v>
      </c>
      <c r="J302" s="10" t="str">
        <f>HYPERLINK("https://rotamaguswines.com/product/barolo-marchesi-di-barolo-gia-opera-pia-1947-gran-riserva-2/","https://rotamaguswines.com/product/barolo-marchesi-di-barolo-gia-opera-pia-1947-gran-riserva-2/")</f>
        <v>https://rotamaguswines.com/product/barolo-marchesi-di-barolo-gia-opera-pia-1947-gran-riserva-2/</v>
      </c>
      <c r="K302" s="8" t="s">
        <v>691</v>
      </c>
    </row>
    <row r="303" spans="1:11">
      <c r="A303" s="3" t="s">
        <v>688</v>
      </c>
      <c r="B303" s="5">
        <v>1947.0</v>
      </c>
      <c r="C303" s="3" t="s">
        <v>12</v>
      </c>
      <c r="D303" s="7">
        <v>277.0</v>
      </c>
      <c r="E303" s="3"/>
      <c r="F303" s="3" t="s">
        <v>635</v>
      </c>
      <c r="G303" s="3" t="s">
        <v>636</v>
      </c>
      <c r="H303" s="9" t="s">
        <v>646</v>
      </c>
      <c r="I303" s="9" t="s">
        <v>689</v>
      </c>
      <c r="J303" s="11" t="str">
        <f>HYPERLINK("https://rotamaguswines.com/product/barolo-marchesi-di-barolo-gia-opera-pia-1947-gran-riserva-3/","https://rotamaguswines.com/product/barolo-marchesi-di-barolo-gia-opera-pia-1947-gran-riserva-3/")</f>
        <v>https://rotamaguswines.com/product/barolo-marchesi-di-barolo-gia-opera-pia-1947-gran-riserva-3/</v>
      </c>
      <c r="K303" s="9" t="s">
        <v>692</v>
      </c>
    </row>
    <row r="304" spans="1:11">
      <c r="A304" s="2" t="s">
        <v>688</v>
      </c>
      <c r="B304" s="4">
        <v>1947.0</v>
      </c>
      <c r="C304" s="2" t="s">
        <v>12</v>
      </c>
      <c r="D304" s="6">
        <v>277.0</v>
      </c>
      <c r="E304" s="2"/>
      <c r="F304" s="2" t="s">
        <v>635</v>
      </c>
      <c r="G304" s="2" t="s">
        <v>636</v>
      </c>
      <c r="H304" s="8" t="s">
        <v>646</v>
      </c>
      <c r="I304" s="8" t="s">
        <v>689</v>
      </c>
      <c r="J304" s="10" t="str">
        <f>HYPERLINK("https://rotamaguswines.com/product/barolo-marchesi-di-barolo-gia-opera-pia-1947-gran-riserva-4/","https://rotamaguswines.com/product/barolo-marchesi-di-barolo-gia-opera-pia-1947-gran-riserva-4/")</f>
        <v>https://rotamaguswines.com/product/barolo-marchesi-di-barolo-gia-opera-pia-1947-gran-riserva-4/</v>
      </c>
      <c r="K304" s="8" t="s">
        <v>693</v>
      </c>
    </row>
    <row r="305" spans="1:11">
      <c r="A305" s="3" t="s">
        <v>688</v>
      </c>
      <c r="B305" s="5">
        <v>1947.0</v>
      </c>
      <c r="C305" s="3" t="s">
        <v>12</v>
      </c>
      <c r="D305" s="7">
        <v>277.0</v>
      </c>
      <c r="E305" s="3"/>
      <c r="F305" s="3" t="s">
        <v>635</v>
      </c>
      <c r="G305" s="3" t="s">
        <v>636</v>
      </c>
      <c r="H305" s="9" t="s">
        <v>646</v>
      </c>
      <c r="I305" s="9" t="s">
        <v>689</v>
      </c>
      <c r="J305" s="11" t="str">
        <f>HYPERLINK("https://rotamaguswines.com/product/barolo-marchesi-di-barolo-gia-opera-pia-1947-gran-riserva-5/","https://rotamaguswines.com/product/barolo-marchesi-di-barolo-gia-opera-pia-1947-gran-riserva-5/")</f>
        <v>https://rotamaguswines.com/product/barolo-marchesi-di-barolo-gia-opera-pia-1947-gran-riserva-5/</v>
      </c>
      <c r="K305" s="9" t="s">
        <v>694</v>
      </c>
    </row>
    <row r="306" spans="1:11">
      <c r="A306" s="2" t="s">
        <v>688</v>
      </c>
      <c r="B306" s="4">
        <v>1947.0</v>
      </c>
      <c r="C306" s="2" t="s">
        <v>12</v>
      </c>
      <c r="D306" s="6">
        <v>277.0</v>
      </c>
      <c r="E306" s="2"/>
      <c r="F306" s="2" t="s">
        <v>635</v>
      </c>
      <c r="G306" s="2" t="s">
        <v>636</v>
      </c>
      <c r="H306" s="8" t="s">
        <v>646</v>
      </c>
      <c r="I306" s="8" t="s">
        <v>689</v>
      </c>
      <c r="J306" s="10" t="str">
        <f>HYPERLINK("https://rotamaguswines.com/product/barolo-marchesi-di-barolo-gia-opera-pia-1947-gran-riserva-6/","https://rotamaguswines.com/product/barolo-marchesi-di-barolo-gia-opera-pia-1947-gran-riserva-6/")</f>
        <v>https://rotamaguswines.com/product/barolo-marchesi-di-barolo-gia-opera-pia-1947-gran-riserva-6/</v>
      </c>
      <c r="K306" s="8" t="s">
        <v>695</v>
      </c>
    </row>
    <row r="307" spans="1:11">
      <c r="A307" s="3" t="s">
        <v>696</v>
      </c>
      <c r="B307" s="5">
        <v>1952.0</v>
      </c>
      <c r="C307" s="3" t="s">
        <v>12</v>
      </c>
      <c r="D307" s="7">
        <v>117.0</v>
      </c>
      <c r="E307" s="3"/>
      <c r="F307" s="3" t="s">
        <v>635</v>
      </c>
      <c r="G307" s="3" t="s">
        <v>636</v>
      </c>
      <c r="H307" s="9" t="s">
        <v>646</v>
      </c>
      <c r="I307" s="9" t="s">
        <v>689</v>
      </c>
      <c r="J307" s="11" t="str">
        <f>HYPERLINK("https://rotamaguswines.com/product/barolo-marchesi-di-barolo-gia-opera-pia-1952/","https://rotamaguswines.com/product/barolo-marchesi-di-barolo-gia-opera-pia-1952/")</f>
        <v>https://rotamaguswines.com/product/barolo-marchesi-di-barolo-gia-opera-pia-1952/</v>
      </c>
      <c r="K307" s="9" t="s">
        <v>697</v>
      </c>
    </row>
    <row r="308" spans="1:11">
      <c r="A308" s="2" t="s">
        <v>698</v>
      </c>
      <c r="B308" s="4">
        <v>1957.0</v>
      </c>
      <c r="C308" s="2" t="s">
        <v>12</v>
      </c>
      <c r="D308" s="6">
        <v>117.0</v>
      </c>
      <c r="E308" s="2"/>
      <c r="F308" s="2" t="s">
        <v>635</v>
      </c>
      <c r="G308" s="2" t="s">
        <v>636</v>
      </c>
      <c r="H308" s="8" t="s">
        <v>646</v>
      </c>
      <c r="I308" s="8" t="s">
        <v>689</v>
      </c>
      <c r="J308" s="10" t="str">
        <f>HYPERLINK("https://rotamaguswines.com/product/barolo-marchesi-di-barolo-gia-opera-pia-1957/","https://rotamaguswines.com/product/barolo-marchesi-di-barolo-gia-opera-pia-1957/")</f>
        <v>https://rotamaguswines.com/product/barolo-marchesi-di-barolo-gia-opera-pia-1957/</v>
      </c>
      <c r="K308" s="8" t="s">
        <v>699</v>
      </c>
    </row>
    <row r="309" spans="1:11">
      <c r="A309" s="3" t="s">
        <v>700</v>
      </c>
      <c r="B309" s="5">
        <v>1958.0</v>
      </c>
      <c r="C309" s="3" t="s">
        <v>132</v>
      </c>
      <c r="D309" s="7">
        <v>1500.0</v>
      </c>
      <c r="E309" s="3"/>
      <c r="F309" s="3" t="s">
        <v>635</v>
      </c>
      <c r="G309" s="3" t="s">
        <v>636</v>
      </c>
      <c r="H309" s="9" t="s">
        <v>646</v>
      </c>
      <c r="I309" s="9" t="s">
        <v>701</v>
      </c>
      <c r="J309" s="11" t="str">
        <f>HYPERLINK("https://rotamaguswines.com/product/barolo-mascarello-bartolo-1958-magnum-cannubi/","https://rotamaguswines.com/product/barolo-mascarello-bartolo-1958-magnum-cannubi/")</f>
        <v>https://rotamaguswines.com/product/barolo-mascarello-bartolo-1958-magnum-cannubi/</v>
      </c>
      <c r="K309" s="9" t="s">
        <v>702</v>
      </c>
    </row>
    <row r="310" spans="1:11">
      <c r="A310" s="2" t="s">
        <v>703</v>
      </c>
      <c r="B310" s="4">
        <v>1964.0</v>
      </c>
      <c r="C310" s="2" t="s">
        <v>132</v>
      </c>
      <c r="D310" s="6">
        <v>1500.0</v>
      </c>
      <c r="E310" s="2"/>
      <c r="F310" s="2" t="s">
        <v>635</v>
      </c>
      <c r="G310" s="2" t="s">
        <v>636</v>
      </c>
      <c r="H310" s="8" t="s">
        <v>646</v>
      </c>
      <c r="I310" s="8" t="s">
        <v>701</v>
      </c>
      <c r="J310" s="10" t="str">
        <f>HYPERLINK("https://rotamaguswines.com/product/barolo-mascarello-bartolo-1964-magnum/","https://rotamaguswines.com/product/barolo-mascarello-bartolo-1964-magnum/")</f>
        <v>https://rotamaguswines.com/product/barolo-mascarello-bartolo-1964-magnum/</v>
      </c>
      <c r="K310" s="8" t="s">
        <v>704</v>
      </c>
    </row>
    <row r="311" spans="1:11">
      <c r="A311" s="3" t="s">
        <v>705</v>
      </c>
      <c r="B311" s="5">
        <v>1967.0</v>
      </c>
      <c r="C311" s="3" t="s">
        <v>12</v>
      </c>
      <c r="D311" s="7">
        <v>307.0</v>
      </c>
      <c r="E311" s="3" t="s">
        <v>706</v>
      </c>
      <c r="F311" s="3" t="s">
        <v>635</v>
      </c>
      <c r="G311" s="3" t="s">
        <v>636</v>
      </c>
      <c r="H311" s="9" t="s">
        <v>646</v>
      </c>
      <c r="I311" s="9" t="s">
        <v>701</v>
      </c>
      <c r="J311" s="11" t="str">
        <f>HYPERLINK("https://rotamaguswines.com/product/barolo-mascarello-bartolo-1967/","https://rotamaguswines.com/product/barolo-mascarello-bartolo-1967/")</f>
        <v>https://rotamaguswines.com/product/barolo-mascarello-bartolo-1967/</v>
      </c>
      <c r="K311" s="9" t="s">
        <v>707</v>
      </c>
    </row>
    <row r="312" spans="1:11">
      <c r="A312" s="2" t="s">
        <v>705</v>
      </c>
      <c r="B312" s="4">
        <v>1967.0</v>
      </c>
      <c r="C312" s="2" t="s">
        <v>12</v>
      </c>
      <c r="D312" s="6">
        <v>307.0</v>
      </c>
      <c r="E312" s="2" t="s">
        <v>706</v>
      </c>
      <c r="F312" s="2" t="s">
        <v>635</v>
      </c>
      <c r="G312" s="2" t="s">
        <v>636</v>
      </c>
      <c r="H312" s="8" t="s">
        <v>646</v>
      </c>
      <c r="I312" s="8" t="s">
        <v>701</v>
      </c>
      <c r="J312" s="10" t="str">
        <f>HYPERLINK("https://rotamaguswines.com/product/barolo-mascarello-bartolo-1967-2/","https://rotamaguswines.com/product/barolo-mascarello-bartolo-1967-2/")</f>
        <v>https://rotamaguswines.com/product/barolo-mascarello-bartolo-1967-2/</v>
      </c>
      <c r="K312" s="8" t="s">
        <v>708</v>
      </c>
    </row>
    <row r="313" spans="1:11">
      <c r="A313" s="3" t="s">
        <v>705</v>
      </c>
      <c r="B313" s="5">
        <v>1967.0</v>
      </c>
      <c r="C313" s="3" t="s">
        <v>12</v>
      </c>
      <c r="D313" s="7">
        <v>307.0</v>
      </c>
      <c r="E313" s="3" t="s">
        <v>706</v>
      </c>
      <c r="F313" s="3" t="s">
        <v>635</v>
      </c>
      <c r="G313" s="3" t="s">
        <v>636</v>
      </c>
      <c r="H313" s="9" t="s">
        <v>646</v>
      </c>
      <c r="I313" s="9" t="s">
        <v>701</v>
      </c>
      <c r="J313" s="11" t="str">
        <f>HYPERLINK("https://rotamaguswines.com/product/barolo-mascarello-bartolo-1967-3/","https://rotamaguswines.com/product/barolo-mascarello-bartolo-1967-3/")</f>
        <v>https://rotamaguswines.com/product/barolo-mascarello-bartolo-1967-3/</v>
      </c>
      <c r="K313" s="9" t="s">
        <v>709</v>
      </c>
    </row>
    <row r="314" spans="1:11">
      <c r="A314" s="2" t="s">
        <v>705</v>
      </c>
      <c r="B314" s="4">
        <v>1967.0</v>
      </c>
      <c r="C314" s="2" t="s">
        <v>12</v>
      </c>
      <c r="D314" s="6">
        <v>307.0</v>
      </c>
      <c r="E314" s="2" t="s">
        <v>706</v>
      </c>
      <c r="F314" s="2" t="s">
        <v>635</v>
      </c>
      <c r="G314" s="2" t="s">
        <v>636</v>
      </c>
      <c r="H314" s="8" t="s">
        <v>646</v>
      </c>
      <c r="I314" s="8" t="s">
        <v>701</v>
      </c>
      <c r="J314" s="10" t="str">
        <f>HYPERLINK("https://rotamaguswines.com/product/barolo-mascarello-bartolo-1967-4/","https://rotamaguswines.com/product/barolo-mascarello-bartolo-1967-4/")</f>
        <v>https://rotamaguswines.com/product/barolo-mascarello-bartolo-1967-4/</v>
      </c>
      <c r="K314" s="8" t="s">
        <v>710</v>
      </c>
    </row>
    <row r="315" spans="1:11">
      <c r="A315" s="3" t="s">
        <v>705</v>
      </c>
      <c r="B315" s="5">
        <v>1967.0</v>
      </c>
      <c r="C315" s="3" t="s">
        <v>12</v>
      </c>
      <c r="D315" s="7">
        <v>307.0</v>
      </c>
      <c r="E315" s="3" t="s">
        <v>706</v>
      </c>
      <c r="F315" s="3" t="s">
        <v>635</v>
      </c>
      <c r="G315" s="3" t="s">
        <v>636</v>
      </c>
      <c r="H315" s="9" t="s">
        <v>646</v>
      </c>
      <c r="I315" s="9" t="s">
        <v>701</v>
      </c>
      <c r="J315" s="11" t="str">
        <f>HYPERLINK("https://rotamaguswines.com/product/barolo-mascarello-bartolo-1967-5/","https://rotamaguswines.com/product/barolo-mascarello-bartolo-1967-5/")</f>
        <v>https://rotamaguswines.com/product/barolo-mascarello-bartolo-1967-5/</v>
      </c>
      <c r="K315" s="9" t="s">
        <v>711</v>
      </c>
    </row>
    <row r="316" spans="1:11">
      <c r="A316" s="2" t="s">
        <v>705</v>
      </c>
      <c r="B316" s="4">
        <v>1967.0</v>
      </c>
      <c r="C316" s="2" t="s">
        <v>12</v>
      </c>
      <c r="D316" s="6">
        <v>307.0</v>
      </c>
      <c r="E316" s="2" t="s">
        <v>706</v>
      </c>
      <c r="F316" s="2" t="s">
        <v>635</v>
      </c>
      <c r="G316" s="2" t="s">
        <v>636</v>
      </c>
      <c r="H316" s="8" t="s">
        <v>646</v>
      </c>
      <c r="I316" s="8" t="s">
        <v>701</v>
      </c>
      <c r="J316" s="10" t="str">
        <f>HYPERLINK("https://rotamaguswines.com/product/barolo-mascarello-bartolo-1967-6/","https://rotamaguswines.com/product/barolo-mascarello-bartolo-1967-6/")</f>
        <v>https://rotamaguswines.com/product/barolo-mascarello-bartolo-1967-6/</v>
      </c>
      <c r="K316" s="8" t="s">
        <v>712</v>
      </c>
    </row>
    <row r="317" spans="1:11">
      <c r="A317" s="3" t="s">
        <v>705</v>
      </c>
      <c r="B317" s="5">
        <v>1967.0</v>
      </c>
      <c r="C317" s="3" t="s">
        <v>12</v>
      </c>
      <c r="D317" s="7">
        <v>307.0</v>
      </c>
      <c r="E317" s="3" t="s">
        <v>706</v>
      </c>
      <c r="F317" s="3" t="s">
        <v>635</v>
      </c>
      <c r="G317" s="3" t="s">
        <v>636</v>
      </c>
      <c r="H317" s="9" t="s">
        <v>646</v>
      </c>
      <c r="I317" s="9" t="s">
        <v>701</v>
      </c>
      <c r="J317" s="11" t="str">
        <f>HYPERLINK("https://rotamaguswines.com/product/barolo-mascarello-bartolo-1967-7/","https://rotamaguswines.com/product/barolo-mascarello-bartolo-1967-7/")</f>
        <v>https://rotamaguswines.com/product/barolo-mascarello-bartolo-1967-7/</v>
      </c>
      <c r="K317" s="9" t="s">
        <v>713</v>
      </c>
    </row>
    <row r="318" spans="1:11">
      <c r="A318" s="2" t="s">
        <v>705</v>
      </c>
      <c r="B318" s="4">
        <v>1967.0</v>
      </c>
      <c r="C318" s="2" t="s">
        <v>12</v>
      </c>
      <c r="D318" s="6">
        <v>307.0</v>
      </c>
      <c r="E318" s="2" t="s">
        <v>706</v>
      </c>
      <c r="F318" s="2" t="s">
        <v>635</v>
      </c>
      <c r="G318" s="2" t="s">
        <v>636</v>
      </c>
      <c r="H318" s="8" t="s">
        <v>646</v>
      </c>
      <c r="I318" s="8" t="s">
        <v>701</v>
      </c>
      <c r="J318" s="10" t="str">
        <f>HYPERLINK("https://rotamaguswines.com/product/barolo-mascarello-bartolo-1967-8/","https://rotamaguswines.com/product/barolo-mascarello-bartolo-1967-8/")</f>
        <v>https://rotamaguswines.com/product/barolo-mascarello-bartolo-1967-8/</v>
      </c>
      <c r="K318" s="8" t="s">
        <v>714</v>
      </c>
    </row>
    <row r="319" spans="1:11">
      <c r="A319" s="3" t="s">
        <v>705</v>
      </c>
      <c r="B319" s="5">
        <v>1967.0</v>
      </c>
      <c r="C319" s="3" t="s">
        <v>12</v>
      </c>
      <c r="D319" s="7">
        <v>307.0</v>
      </c>
      <c r="E319" s="3" t="s">
        <v>706</v>
      </c>
      <c r="F319" s="3" t="s">
        <v>635</v>
      </c>
      <c r="G319" s="3" t="s">
        <v>636</v>
      </c>
      <c r="H319" s="9" t="s">
        <v>646</v>
      </c>
      <c r="I319" s="9" t="s">
        <v>701</v>
      </c>
      <c r="J319" s="11" t="str">
        <f>HYPERLINK("https://rotamaguswines.com/product/barolo-mascarello-bartolo-1967-9/","https://rotamaguswines.com/product/barolo-mascarello-bartolo-1967-9/")</f>
        <v>https://rotamaguswines.com/product/barolo-mascarello-bartolo-1967-9/</v>
      </c>
      <c r="K319" s="9" t="s">
        <v>715</v>
      </c>
    </row>
    <row r="320" spans="1:11">
      <c r="A320" s="2" t="s">
        <v>705</v>
      </c>
      <c r="B320" s="4">
        <v>1967.0</v>
      </c>
      <c r="C320" s="2" t="s">
        <v>12</v>
      </c>
      <c r="D320" s="6">
        <v>307.0</v>
      </c>
      <c r="E320" s="2" t="s">
        <v>706</v>
      </c>
      <c r="F320" s="2" t="s">
        <v>635</v>
      </c>
      <c r="G320" s="2" t="s">
        <v>636</v>
      </c>
      <c r="H320" s="8" t="s">
        <v>646</v>
      </c>
      <c r="I320" s="8" t="s">
        <v>701</v>
      </c>
      <c r="J320" s="10" t="str">
        <f>HYPERLINK("https://rotamaguswines.com/product/barolo-mascarello-bartolo-1967-10/","https://rotamaguswines.com/product/barolo-mascarello-bartolo-1967-10/")</f>
        <v>https://rotamaguswines.com/product/barolo-mascarello-bartolo-1967-10/</v>
      </c>
      <c r="K320" s="8" t="s">
        <v>716</v>
      </c>
    </row>
    <row r="321" spans="1:11">
      <c r="A321" s="3" t="s">
        <v>705</v>
      </c>
      <c r="B321" s="5">
        <v>1967.0</v>
      </c>
      <c r="C321" s="3" t="s">
        <v>12</v>
      </c>
      <c r="D321" s="7">
        <v>307.0</v>
      </c>
      <c r="E321" s="3" t="s">
        <v>706</v>
      </c>
      <c r="F321" s="3" t="s">
        <v>635</v>
      </c>
      <c r="G321" s="3" t="s">
        <v>636</v>
      </c>
      <c r="H321" s="9" t="s">
        <v>646</v>
      </c>
      <c r="I321" s="9" t="s">
        <v>701</v>
      </c>
      <c r="J321" s="11" t="str">
        <f>HYPERLINK("https://rotamaguswines.com/product/barolo-mascarello-bartolo-1967-11/","https://rotamaguswines.com/product/barolo-mascarello-bartolo-1967-11/")</f>
        <v>https://rotamaguswines.com/product/barolo-mascarello-bartolo-1967-11/</v>
      </c>
      <c r="K321" s="9" t="s">
        <v>717</v>
      </c>
    </row>
    <row r="322" spans="1:11">
      <c r="A322" s="2" t="s">
        <v>718</v>
      </c>
      <c r="B322" s="4">
        <v>1968.0</v>
      </c>
      <c r="C322" s="2" t="s">
        <v>12</v>
      </c>
      <c r="D322" s="6">
        <v>377.0</v>
      </c>
      <c r="E322" s="2" t="s">
        <v>719</v>
      </c>
      <c r="F322" s="2" t="s">
        <v>635</v>
      </c>
      <c r="G322" s="2" t="s">
        <v>636</v>
      </c>
      <c r="H322" s="8" t="s">
        <v>646</v>
      </c>
      <c r="I322" s="8" t="s">
        <v>701</v>
      </c>
      <c r="J322" s="10" t="str">
        <f>HYPERLINK("https://rotamaguswines.com/product/barolo-mascarello-bartolo-1968/","https://rotamaguswines.com/product/barolo-mascarello-bartolo-1968/")</f>
        <v>https://rotamaguswines.com/product/barolo-mascarello-bartolo-1968/</v>
      </c>
      <c r="K322" s="8" t="s">
        <v>720</v>
      </c>
    </row>
    <row r="323" spans="1:11">
      <c r="A323" s="3" t="s">
        <v>721</v>
      </c>
      <c r="B323" s="5">
        <v>1971.0</v>
      </c>
      <c r="C323" s="3" t="s">
        <v>12</v>
      </c>
      <c r="D323" s="7">
        <v>507.0</v>
      </c>
      <c r="E323" s="3" t="s">
        <v>722</v>
      </c>
      <c r="F323" s="3" t="s">
        <v>635</v>
      </c>
      <c r="G323" s="3" t="s">
        <v>636</v>
      </c>
      <c r="H323" s="9" t="s">
        <v>646</v>
      </c>
      <c r="I323" s="9" t="s">
        <v>701</v>
      </c>
      <c r="J323" s="11" t="str">
        <f>HYPERLINK("https://rotamaguswines.com/product/barolo-mascarello-bartolo-1971/","https://rotamaguswines.com/product/barolo-mascarello-bartolo-1971/")</f>
        <v>https://rotamaguswines.com/product/barolo-mascarello-bartolo-1971/</v>
      </c>
      <c r="K323" s="9" t="s">
        <v>723</v>
      </c>
    </row>
    <row r="324" spans="1:11">
      <c r="A324" s="2" t="s">
        <v>724</v>
      </c>
      <c r="B324" s="4">
        <v>1989.0</v>
      </c>
      <c r="C324" s="2" t="s">
        <v>12</v>
      </c>
      <c r="D324" s="6">
        <v>537.0</v>
      </c>
      <c r="E324" s="2" t="s">
        <v>725</v>
      </c>
      <c r="F324" s="2" t="s">
        <v>635</v>
      </c>
      <c r="G324" s="2" t="s">
        <v>636</v>
      </c>
      <c r="H324" s="8" t="s">
        <v>646</v>
      </c>
      <c r="I324" s="8" t="s">
        <v>701</v>
      </c>
      <c r="J324" s="10" t="str">
        <f>HYPERLINK("https://rotamaguswines.com/product/barolo-mascarello-bartolo-1989/","https://rotamaguswines.com/product/barolo-mascarello-bartolo-1989/")</f>
        <v>https://rotamaguswines.com/product/barolo-mascarello-bartolo-1989/</v>
      </c>
      <c r="K324" s="8" t="s">
        <v>726</v>
      </c>
    </row>
    <row r="325" spans="1:11">
      <c r="A325" s="3" t="s">
        <v>724</v>
      </c>
      <c r="B325" s="5">
        <v>1989.0</v>
      </c>
      <c r="C325" s="3" t="s">
        <v>12</v>
      </c>
      <c r="D325" s="7">
        <v>537.0</v>
      </c>
      <c r="E325" s="3" t="s">
        <v>725</v>
      </c>
      <c r="F325" s="3" t="s">
        <v>635</v>
      </c>
      <c r="G325" s="3" t="s">
        <v>636</v>
      </c>
      <c r="H325" s="9" t="s">
        <v>646</v>
      </c>
      <c r="I325" s="9" t="s">
        <v>701</v>
      </c>
      <c r="J325" s="11" t="str">
        <f>HYPERLINK("https://rotamaguswines.com/product/barolo-mascarello-bartolo-1989-2/","https://rotamaguswines.com/product/barolo-mascarello-bartolo-1989-2/")</f>
        <v>https://rotamaguswines.com/product/barolo-mascarello-bartolo-1989-2/</v>
      </c>
      <c r="K325" s="9" t="s">
        <v>727</v>
      </c>
    </row>
    <row r="326" spans="1:11">
      <c r="A326" s="2" t="s">
        <v>728</v>
      </c>
      <c r="B326" s="4">
        <v>1971.0</v>
      </c>
      <c r="C326" s="2" t="s">
        <v>12</v>
      </c>
      <c r="D326" s="6">
        <v>377.0</v>
      </c>
      <c r="E326" s="2" t="s">
        <v>729</v>
      </c>
      <c r="F326" s="2" t="s">
        <v>635</v>
      </c>
      <c r="G326" s="2" t="s">
        <v>636</v>
      </c>
      <c r="H326" s="8" t="s">
        <v>646</v>
      </c>
      <c r="I326" s="8" t="s">
        <v>730</v>
      </c>
      <c r="J326" s="10" t="str">
        <f>HYPERLINK("https://rotamaguswines.com/product/barolo-mascarello-giuilio-cantina-cannubi-1971/","https://rotamaguswines.com/product/barolo-mascarello-giuilio-cantina-cannubi-1971/")</f>
        <v>https://rotamaguswines.com/product/barolo-mascarello-giuilio-cantina-cannubi-1971/</v>
      </c>
      <c r="K326" s="8" t="s">
        <v>731</v>
      </c>
    </row>
    <row r="327" spans="1:11">
      <c r="A327" s="3" t="s">
        <v>732</v>
      </c>
      <c r="B327" s="5">
        <v>1958.0</v>
      </c>
      <c r="C327" s="3" t="s">
        <v>12</v>
      </c>
      <c r="D327" s="7">
        <v>137.0</v>
      </c>
      <c r="E327" s="3" t="s">
        <v>733</v>
      </c>
      <c r="F327" s="3" t="s">
        <v>635</v>
      </c>
      <c r="G327" s="3" t="s">
        <v>636</v>
      </c>
      <c r="H327" s="9" t="s">
        <v>646</v>
      </c>
      <c r="I327" s="9" t="s">
        <v>734</v>
      </c>
      <c r="J327" s="11" t="str">
        <f>HYPERLINK("https://rotamaguswines.com/product/michele-mascarello-figli-la-morra-barolo-classico-1958-700ml/","https://rotamaguswines.com/product/michele-mascarello-figli-la-morra-barolo-classico-1958-700ml/")</f>
        <v>https://rotamaguswines.com/product/michele-mascarello-figli-la-morra-barolo-classico-1958-700ml/</v>
      </c>
      <c r="K327" s="9" t="s">
        <v>735</v>
      </c>
    </row>
    <row r="328" spans="1:11">
      <c r="A328" s="2" t="s">
        <v>736</v>
      </c>
      <c r="B328" s="4">
        <v>1992.0</v>
      </c>
      <c r="C328" s="2" t="s">
        <v>12</v>
      </c>
      <c r="D328" s="6">
        <v>277.0</v>
      </c>
      <c r="E328" s="2"/>
      <c r="F328" s="2" t="s">
        <v>635</v>
      </c>
      <c r="G328" s="2" t="s">
        <v>737</v>
      </c>
      <c r="H328" s="8" t="s">
        <v>738</v>
      </c>
      <c r="I328" s="8" t="s">
        <v>739</v>
      </c>
      <c r="J328" s="10" t="str">
        <f>HYPERLINK("https://rotamaguswines.com/product/grappa-romano-levi/","https://rotamaguswines.com/product/grappa-romano-levi/")</f>
        <v>https://rotamaguswines.com/product/grappa-romano-levi/</v>
      </c>
      <c r="K328" s="8" t="s">
        <v>740</v>
      </c>
    </row>
    <row r="329" spans="1:11">
      <c r="A329" s="3" t="s">
        <v>741</v>
      </c>
      <c r="B329" s="5">
        <v>1999.0</v>
      </c>
      <c r="C329" s="3" t="s">
        <v>12</v>
      </c>
      <c r="D329" s="7">
        <v>227.0</v>
      </c>
      <c r="E329" s="3"/>
      <c r="F329" s="3" t="s">
        <v>635</v>
      </c>
      <c r="G329" s="3" t="s">
        <v>737</v>
      </c>
      <c r="H329" s="9" t="s">
        <v>738</v>
      </c>
      <c r="I329" s="9" t="s">
        <v>739</v>
      </c>
      <c r="J329" s="11" t="str">
        <f>HYPERLINK("https://rotamaguswines.com/product/grappa-romano-levi-5-stella/","https://rotamaguswines.com/product/grappa-romano-levi-5-stella/")</f>
        <v>https://rotamaguswines.com/product/grappa-romano-levi-5-stella/</v>
      </c>
      <c r="K329" s="9" t="s">
        <v>742</v>
      </c>
    </row>
    <row r="330" spans="1:11">
      <c r="A330" s="2" t="s">
        <v>741</v>
      </c>
      <c r="B330" s="4">
        <v>1999.0</v>
      </c>
      <c r="C330" s="2" t="s">
        <v>12</v>
      </c>
      <c r="D330" s="6">
        <v>227.0</v>
      </c>
      <c r="E330" s="2"/>
      <c r="F330" s="2" t="s">
        <v>635</v>
      </c>
      <c r="G330" s="2" t="s">
        <v>737</v>
      </c>
      <c r="H330" s="8" t="s">
        <v>738</v>
      </c>
      <c r="I330" s="8" t="s">
        <v>739</v>
      </c>
      <c r="J330" s="10" t="str">
        <f>HYPERLINK("https://rotamaguswines.com/product/grappa-romano-levi-5-stella-2/","https://rotamaguswines.com/product/grappa-romano-levi-5-stella-2/")</f>
        <v>https://rotamaguswines.com/product/grappa-romano-levi-5-stella-2/</v>
      </c>
      <c r="K330" s="8" t="s">
        <v>743</v>
      </c>
    </row>
    <row r="331" spans="1:11">
      <c r="A331" s="3" t="s">
        <v>744</v>
      </c>
      <c r="B331" s="5">
        <v>2003.0</v>
      </c>
      <c r="C331" s="3" t="s">
        <v>12</v>
      </c>
      <c r="D331" s="7">
        <v>227.0</v>
      </c>
      <c r="E331" s="3"/>
      <c r="F331" s="3" t="s">
        <v>635</v>
      </c>
      <c r="G331" s="3" t="s">
        <v>737</v>
      </c>
      <c r="H331" s="9" t="s">
        <v>738</v>
      </c>
      <c r="I331" s="9" t="s">
        <v>739</v>
      </c>
      <c r="J331" s="11" t="str">
        <f>HYPERLINK("https://rotamaguswines.com/product/grappa-romano-levi-basilico-e-lemone-gradi-52/","https://rotamaguswines.com/product/grappa-romano-levi-basilico-e-lemone-gradi-52/")</f>
        <v>https://rotamaguswines.com/product/grappa-romano-levi-basilico-e-lemone-gradi-52/</v>
      </c>
      <c r="K331" s="9" t="s">
        <v>745</v>
      </c>
    </row>
    <row r="332" spans="1:11">
      <c r="A332" s="2" t="s">
        <v>746</v>
      </c>
      <c r="B332" s="4">
        <v>1999.0</v>
      </c>
      <c r="C332" s="2" t="s">
        <v>12</v>
      </c>
      <c r="D332" s="6">
        <v>277.0</v>
      </c>
      <c r="E332" s="2"/>
      <c r="F332" s="2" t="s">
        <v>635</v>
      </c>
      <c r="G332" s="2" t="s">
        <v>737</v>
      </c>
      <c r="H332" s="8" t="s">
        <v>738</v>
      </c>
      <c r="I332" s="8" t="s">
        <v>739</v>
      </c>
      <c r="J332" s="10" t="str">
        <f>HYPERLINK("https://rotamaguswines.com/product/grappa-romano-levi-deice-fiori/","https://rotamaguswines.com/product/grappa-romano-levi-deice-fiori/")</f>
        <v>https://rotamaguswines.com/product/grappa-romano-levi-deice-fiori/</v>
      </c>
      <c r="K332" s="8" t="s">
        <v>747</v>
      </c>
    </row>
    <row r="333" spans="1:11">
      <c r="A333" s="3" t="s">
        <v>748</v>
      </c>
      <c r="B333" s="5">
        <v>1999.0</v>
      </c>
      <c r="C333" s="3" t="s">
        <v>12</v>
      </c>
      <c r="D333" s="7">
        <v>277.0</v>
      </c>
      <c r="E333" s="3"/>
      <c r="F333" s="3" t="s">
        <v>635</v>
      </c>
      <c r="G333" s="3" t="s">
        <v>737</v>
      </c>
      <c r="H333" s="9" t="s">
        <v>738</v>
      </c>
      <c r="I333" s="9" t="s">
        <v>739</v>
      </c>
      <c r="J333" s="11" t="str">
        <f>HYPERLINK("https://rotamaguswines.com/product/grappa-romano-levi-frame/","https://rotamaguswines.com/product/grappa-romano-levi-frame/")</f>
        <v>https://rotamaguswines.com/product/grappa-romano-levi-frame/</v>
      </c>
      <c r="K333" s="9" t="s">
        <v>749</v>
      </c>
    </row>
    <row r="334" spans="1:11">
      <c r="A334" s="2" t="s">
        <v>750</v>
      </c>
      <c r="B334" s="4">
        <v>1999.0</v>
      </c>
      <c r="C334" s="2" t="s">
        <v>12</v>
      </c>
      <c r="D334" s="6">
        <v>277.0</v>
      </c>
      <c r="E334" s="2"/>
      <c r="F334" s="2" t="s">
        <v>635</v>
      </c>
      <c r="G334" s="2" t="s">
        <v>737</v>
      </c>
      <c r="H334" s="8" t="s">
        <v>738</v>
      </c>
      <c r="I334" s="8" t="s">
        <v>739</v>
      </c>
      <c r="J334" s="10" t="str">
        <f>HYPERLINK("https://rotamaguswines.com/product/grappa-romano-levi-nove-fiori/","https://rotamaguswines.com/product/grappa-romano-levi-nove-fiori/")</f>
        <v>https://rotamaguswines.com/product/grappa-romano-levi-nove-fiori/</v>
      </c>
      <c r="K334" s="8" t="s">
        <v>751</v>
      </c>
    </row>
    <row r="335" spans="1:11">
      <c r="A335" s="3" t="s">
        <v>752</v>
      </c>
      <c r="B335" s="5">
        <v>2003.0</v>
      </c>
      <c r="C335" s="3" t="s">
        <v>12</v>
      </c>
      <c r="D335" s="7">
        <v>227.0</v>
      </c>
      <c r="E335" s="3"/>
      <c r="F335" s="3" t="s">
        <v>635</v>
      </c>
      <c r="G335" s="3" t="s">
        <v>737</v>
      </c>
      <c r="H335" s="9" t="s">
        <v>738</v>
      </c>
      <c r="I335" s="9" t="s">
        <v>739</v>
      </c>
      <c r="J335" s="11" t="str">
        <f>HYPERLINK("https://rotamaguswines.com/product/grappa-romano-levi-originale-galletto-gradi-51/","https://rotamaguswines.com/product/grappa-romano-levi-originale-galletto-gradi-51/")</f>
        <v>https://rotamaguswines.com/product/grappa-romano-levi-originale-galletto-gradi-51/</v>
      </c>
      <c r="K335" s="9" t="s">
        <v>753</v>
      </c>
    </row>
    <row r="336" spans="1:11">
      <c r="A336" s="2" t="s">
        <v>752</v>
      </c>
      <c r="B336" s="4">
        <v>2003.0</v>
      </c>
      <c r="C336" s="2" t="s">
        <v>12</v>
      </c>
      <c r="D336" s="6">
        <v>227.0</v>
      </c>
      <c r="E336" s="2"/>
      <c r="F336" s="2" t="s">
        <v>635</v>
      </c>
      <c r="G336" s="2" t="s">
        <v>737</v>
      </c>
      <c r="H336" s="8" t="s">
        <v>738</v>
      </c>
      <c r="I336" s="8" t="s">
        <v>739</v>
      </c>
      <c r="J336" s="10" t="str">
        <f>HYPERLINK("https://rotamaguswines.com/product/grappa-romano-levi-originale-galletto-gradi-51-2/","https://rotamaguswines.com/product/grappa-romano-levi-originale-galletto-gradi-51-2/")</f>
        <v>https://rotamaguswines.com/product/grappa-romano-levi-originale-galletto-gradi-51-2/</v>
      </c>
      <c r="K336" s="8" t="s">
        <v>754</v>
      </c>
    </row>
    <row r="337" spans="1:11">
      <c r="A337" s="3" t="s">
        <v>755</v>
      </c>
      <c r="B337" s="5">
        <v>2003.0</v>
      </c>
      <c r="C337" s="3" t="s">
        <v>12</v>
      </c>
      <c r="D337" s="7">
        <v>227.0</v>
      </c>
      <c r="E337" s="3"/>
      <c r="F337" s="3" t="s">
        <v>635</v>
      </c>
      <c r="G337" s="3" t="s">
        <v>737</v>
      </c>
      <c r="H337" s="9" t="s">
        <v>738</v>
      </c>
      <c r="I337" s="9" t="s">
        <v>739</v>
      </c>
      <c r="J337" s="11" t="str">
        <f>HYPERLINK("https://rotamaguswines.com/product/grappa-romano-levi-salvia-cimo-e-camomilla-gradi-51/","https://rotamaguswines.com/product/grappa-romano-levi-salvia-cimo-e-camomilla-gradi-51/")</f>
        <v>https://rotamaguswines.com/product/grappa-romano-levi-salvia-cimo-e-camomilla-gradi-51/</v>
      </c>
      <c r="K337" s="9" t="s">
        <v>756</v>
      </c>
    </row>
    <row r="338" spans="1:11">
      <c r="A338" s="2" t="s">
        <v>757</v>
      </c>
      <c r="B338" s="4">
        <v>1985.0</v>
      </c>
      <c r="C338" s="2" t="s">
        <v>12</v>
      </c>
      <c r="D338" s="6">
        <v>1047.0</v>
      </c>
      <c r="E338" s="2" t="s">
        <v>758</v>
      </c>
      <c r="F338" s="2" t="s">
        <v>635</v>
      </c>
      <c r="G338" s="2" t="s">
        <v>759</v>
      </c>
      <c r="H338" s="8" t="s">
        <v>760</v>
      </c>
      <c r="I338" s="8" t="s">
        <v>761</v>
      </c>
      <c r="J338" s="10" t="str">
        <f>HYPERLINK("https://rotamaguswines.com/product/brunello-di-montalcino-case-basse-gianfranco-soldera-1985/","https://rotamaguswines.com/product/brunello-di-montalcino-case-basse-gianfranco-soldera-1985/")</f>
        <v>https://rotamaguswines.com/product/brunello-di-montalcino-case-basse-gianfranco-soldera-1985/</v>
      </c>
      <c r="K338" s="8" t="s">
        <v>762</v>
      </c>
    </row>
    <row r="339" spans="1:11">
      <c r="A339" s="3" t="s">
        <v>763</v>
      </c>
      <c r="B339" s="5">
        <v>2000.0</v>
      </c>
      <c r="C339" s="3" t="s">
        <v>12</v>
      </c>
      <c r="D339" s="7">
        <v>3100.0</v>
      </c>
      <c r="E339" s="3" t="s">
        <v>764</v>
      </c>
      <c r="F339" s="3" t="s">
        <v>765</v>
      </c>
      <c r="G339" s="3" t="s">
        <v>737</v>
      </c>
      <c r="H339" s="9" t="s">
        <v>766</v>
      </c>
      <c r="I339" s="9" t="s">
        <v>767</v>
      </c>
      <c r="J339" s="11" t="str">
        <f>HYPERLINK("https://rotamaguswines.com/product/caroni-cask-15-years-2000-cask-nr3790-one-of-214-bottled-2015-paul-ullrich-ag/","https://rotamaguswines.com/product/caroni-cask-15-years-2000-cask-nr3790-one-of-214-bottled-2015-paul-ullrich-ag/")</f>
        <v>https://rotamaguswines.com/product/caroni-cask-15-years-2000-cask-nr3790-one-of-214-bottled-2015-paul-ullrich-ag/</v>
      </c>
      <c r="K339" s="9" t="s">
        <v>768</v>
      </c>
    </row>
    <row r="340" spans="1:11">
      <c r="A340" s="2" t="s">
        <v>769</v>
      </c>
      <c r="B340" s="4">
        <v>1996.0</v>
      </c>
      <c r="C340" s="2" t="s">
        <v>12</v>
      </c>
      <c r="D340" s="6">
        <v>2600.0</v>
      </c>
      <c r="E340" s="2" t="s">
        <v>770</v>
      </c>
      <c r="F340" s="2" t="s">
        <v>765</v>
      </c>
      <c r="G340" s="2" t="s">
        <v>737</v>
      </c>
      <c r="H340" s="8" t="s">
        <v>766</v>
      </c>
      <c r="I340" s="8" t="s">
        <v>767</v>
      </c>
      <c r="J340" s="10" t="str">
        <f>HYPERLINK("https://rotamaguswines.com/product/caroni-cask-20-years-1996-cask-nr3718-one-of-270-bottled-2016-stefano-cremaschi/","https://rotamaguswines.com/product/caroni-cask-20-years-1996-cask-nr3718-one-of-270-bottled-2016-stefano-cremaschi/")</f>
        <v>https://rotamaguswines.com/product/caroni-cask-20-years-1996-cask-nr3718-one-of-270-bottled-2016-stefano-cremaschi/</v>
      </c>
      <c r="K340" s="8" t="s">
        <v>771</v>
      </c>
    </row>
    <row r="341" spans="1:11">
      <c r="A341" s="3" t="s">
        <v>772</v>
      </c>
      <c r="B341" s="5">
        <v>1996.0</v>
      </c>
      <c r="C341" s="3" t="s">
        <v>12</v>
      </c>
      <c r="D341" s="7">
        <v>2750.0</v>
      </c>
      <c r="E341" s="3" t="s">
        <v>773</v>
      </c>
      <c r="F341" s="3" t="s">
        <v>765</v>
      </c>
      <c r="G341" s="3" t="s">
        <v>737</v>
      </c>
      <c r="H341" s="9" t="s">
        <v>766</v>
      </c>
      <c r="I341" s="9" t="s">
        <v>767</v>
      </c>
      <c r="J341" s="11" t="str">
        <f>HYPERLINK("https://rotamaguswines.com/product/caroni-cask-20-years-1996-single-cask-nr3721-one-of-250-bottled-2016-old-whisky-fire/","https://rotamaguswines.com/product/caroni-cask-20-years-1996-single-cask-nr3721-one-of-250-bottled-2016-old-whisky-fire/")</f>
        <v>https://rotamaguswines.com/product/caroni-cask-20-years-1996-single-cask-nr3721-one-of-250-bottled-2016-old-whisky-fire/</v>
      </c>
      <c r="K341" s="9" t="s">
        <v>774</v>
      </c>
    </row>
    <row r="342" spans="1:11">
      <c r="A342" s="2" t="s">
        <v>775</v>
      </c>
      <c r="B342" s="4">
        <v>1951.0</v>
      </c>
      <c r="C342" s="2" t="s">
        <v>776</v>
      </c>
      <c r="D342" s="6">
        <v>137.0</v>
      </c>
      <c r="E342" s="2"/>
      <c r="F342" s="2" t="s">
        <v>777</v>
      </c>
      <c r="G342" s="2" t="s">
        <v>778</v>
      </c>
      <c r="H342" s="8" t="s">
        <v>778</v>
      </c>
      <c r="I342" s="8" t="s">
        <v>779</v>
      </c>
      <c r="J342" s="10" t="str">
        <f>HYPERLINK("https://rotamaguswines.com/product/cvne-vina-real-reserva-especial-1951-demie/","https://rotamaguswines.com/product/cvne-vina-real-reserva-especial-1951-demie/")</f>
        <v>https://rotamaguswines.com/product/cvne-vina-real-reserva-especial-1951-demie/</v>
      </c>
      <c r="K342" s="8" t="s">
        <v>780</v>
      </c>
    </row>
    <row r="343" spans="1:11">
      <c r="A343" s="3" t="s">
        <v>775</v>
      </c>
      <c r="B343" s="5">
        <v>1951.0</v>
      </c>
      <c r="C343" s="3" t="s">
        <v>776</v>
      </c>
      <c r="D343" s="7">
        <v>137.0</v>
      </c>
      <c r="E343" s="3"/>
      <c r="F343" s="3" t="s">
        <v>777</v>
      </c>
      <c r="G343" s="3" t="s">
        <v>778</v>
      </c>
      <c r="H343" s="9" t="s">
        <v>778</v>
      </c>
      <c r="I343" s="9" t="s">
        <v>779</v>
      </c>
      <c r="J343" s="11" t="str">
        <f>HYPERLINK("https://rotamaguswines.com/product/cvne-vina-real-reserva-especial-1951-demie-2/","https://rotamaguswines.com/product/cvne-vina-real-reserva-especial-1951-demie-2/")</f>
        <v>https://rotamaguswines.com/product/cvne-vina-real-reserva-especial-1951-demie-2/</v>
      </c>
      <c r="K343" s="9" t="s">
        <v>781</v>
      </c>
    </row>
    <row r="344" spans="1:11">
      <c r="A344" s="2" t="s">
        <v>775</v>
      </c>
      <c r="B344" s="4">
        <v>1951.0</v>
      </c>
      <c r="C344" s="2" t="s">
        <v>776</v>
      </c>
      <c r="D344" s="6">
        <v>137.0</v>
      </c>
      <c r="E344" s="2"/>
      <c r="F344" s="2" t="s">
        <v>777</v>
      </c>
      <c r="G344" s="2" t="s">
        <v>778</v>
      </c>
      <c r="H344" s="8" t="s">
        <v>778</v>
      </c>
      <c r="I344" s="8" t="s">
        <v>779</v>
      </c>
      <c r="J344" s="10" t="str">
        <f>HYPERLINK("https://rotamaguswines.com/product/cvne-vina-real-reserva-especial-1951-demie-3/","https://rotamaguswines.com/product/cvne-vina-real-reserva-especial-1951-demie-3/")</f>
        <v>https://rotamaguswines.com/product/cvne-vina-real-reserva-especial-1951-demie-3/</v>
      </c>
      <c r="K344" s="8" t="s">
        <v>782</v>
      </c>
    </row>
    <row r="345" spans="1:11">
      <c r="A345" s="3" t="s">
        <v>775</v>
      </c>
      <c r="B345" s="5">
        <v>1951.0</v>
      </c>
      <c r="C345" s="3" t="s">
        <v>776</v>
      </c>
      <c r="D345" s="7">
        <v>137.0</v>
      </c>
      <c r="E345" s="3"/>
      <c r="F345" s="3" t="s">
        <v>777</v>
      </c>
      <c r="G345" s="3" t="s">
        <v>778</v>
      </c>
      <c r="H345" s="9" t="s">
        <v>778</v>
      </c>
      <c r="I345" s="9" t="s">
        <v>779</v>
      </c>
      <c r="J345" s="11" t="str">
        <f>HYPERLINK("https://rotamaguswines.com/product/cvne-vina-real-reserva-especial-1951-demie-4/","https://rotamaguswines.com/product/cvne-vina-real-reserva-especial-1951-demie-4/")</f>
        <v>https://rotamaguswines.com/product/cvne-vina-real-reserva-especial-1951-demie-4/</v>
      </c>
      <c r="K345" s="9" t="s">
        <v>783</v>
      </c>
    </row>
    <row r="346" spans="1:11">
      <c r="A346" s="2" t="s">
        <v>784</v>
      </c>
      <c r="B346" s="4">
        <v>1952.0</v>
      </c>
      <c r="C346" s="2" t="s">
        <v>12</v>
      </c>
      <c r="D346" s="6">
        <v>277.0</v>
      </c>
      <c r="E346" s="2"/>
      <c r="F346" s="2" t="s">
        <v>777</v>
      </c>
      <c r="G346" s="2" t="s">
        <v>778</v>
      </c>
      <c r="H346" s="8" t="s">
        <v>778</v>
      </c>
      <c r="I346" s="8" t="s">
        <v>779</v>
      </c>
      <c r="J346" s="10" t="str">
        <f>HYPERLINK("https://rotamaguswines.com/product/cvne-vina-real-reserva-especial-1952/","https://rotamaguswines.com/product/cvne-vina-real-reserva-especial-1952/")</f>
        <v>https://rotamaguswines.com/product/cvne-vina-real-reserva-especial-1952/</v>
      </c>
      <c r="K346" s="8" t="s">
        <v>785</v>
      </c>
    </row>
    <row r="347" spans="1:11">
      <c r="A347" s="3" t="s">
        <v>786</v>
      </c>
      <c r="B347" s="5">
        <v>1942.0</v>
      </c>
      <c r="C347" s="3" t="s">
        <v>12</v>
      </c>
      <c r="D347" s="7">
        <v>687.0</v>
      </c>
      <c r="E347" s="3" t="s">
        <v>787</v>
      </c>
      <c r="F347" s="3" t="s">
        <v>777</v>
      </c>
      <c r="G347" s="3" t="s">
        <v>778</v>
      </c>
      <c r="H347" s="9" t="s">
        <v>778</v>
      </c>
      <c r="I347" s="9" t="s">
        <v>788</v>
      </c>
      <c r="J347" s="11" t="str">
        <f>HYPERLINK("https://rotamaguswines.com/product/r-lopez-de-heredia-vina-tondonia-gran-reserva-1942/","https://rotamaguswines.com/product/r-lopez-de-heredia-vina-tondonia-gran-reserva-1942/")</f>
        <v>https://rotamaguswines.com/product/r-lopez-de-heredia-vina-tondonia-gran-reserva-1942/</v>
      </c>
      <c r="K347" s="9" t="s">
        <v>789</v>
      </c>
    </row>
    <row r="348" spans="1:11">
      <c r="A348" s="2" t="s">
        <v>790</v>
      </c>
      <c r="B348" s="4">
        <v>1941.0</v>
      </c>
      <c r="C348" s="2" t="s">
        <v>12</v>
      </c>
      <c r="D348" s="6">
        <v>997.0</v>
      </c>
      <c r="E348" s="2" t="s">
        <v>791</v>
      </c>
      <c r="F348" s="2" t="s">
        <v>777</v>
      </c>
      <c r="G348" s="2" t="s">
        <v>778</v>
      </c>
      <c r="H348" s="8" t="s">
        <v>778</v>
      </c>
      <c r="I348" s="8" t="s">
        <v>792</v>
      </c>
      <c r="J348" s="10" t="str">
        <f>HYPERLINK("https://rotamaguswines.com/product/vega-sicilia-unico-1941/","https://rotamaguswines.com/product/vega-sicilia-unico-1941/")</f>
        <v>https://rotamaguswines.com/product/vega-sicilia-unico-1941/</v>
      </c>
      <c r="K348" s="8" t="s">
        <v>793</v>
      </c>
    </row>
    <row r="349" spans="1:11">
      <c r="A349" s="3" t="s">
        <v>790</v>
      </c>
      <c r="B349" s="5">
        <v>1941.0</v>
      </c>
      <c r="C349" s="3" t="s">
        <v>12</v>
      </c>
      <c r="D349" s="7">
        <v>997.0</v>
      </c>
      <c r="E349" s="3" t="s">
        <v>791</v>
      </c>
      <c r="F349" s="3" t="s">
        <v>777</v>
      </c>
      <c r="G349" s="3" t="s">
        <v>778</v>
      </c>
      <c r="H349" s="9" t="s">
        <v>778</v>
      </c>
      <c r="I349" s="9" t="s">
        <v>792</v>
      </c>
      <c r="J349" s="11" t="str">
        <f>HYPERLINK("https://rotamaguswines.com/product/vega-sicilia-unico-1941-2/","https://rotamaguswines.com/product/vega-sicilia-unico-1941-2/")</f>
        <v>https://rotamaguswines.com/product/vega-sicilia-unico-1941-2/</v>
      </c>
      <c r="K349" s="9" t="s">
        <v>794</v>
      </c>
    </row>
    <row r="350" spans="1:11">
      <c r="A350" s="2" t="s">
        <v>795</v>
      </c>
      <c r="B350" s="4">
        <v>1947.0</v>
      </c>
      <c r="C350" s="2" t="s">
        <v>12</v>
      </c>
      <c r="D350" s="6">
        <v>947.0</v>
      </c>
      <c r="E350" s="2" t="s">
        <v>796</v>
      </c>
      <c r="F350" s="2" t="s">
        <v>777</v>
      </c>
      <c r="G350" s="2" t="s">
        <v>778</v>
      </c>
      <c r="H350" s="8" t="s">
        <v>778</v>
      </c>
      <c r="I350" s="8" t="s">
        <v>792</v>
      </c>
      <c r="J350" s="10" t="str">
        <f>HYPERLINK("https://rotamaguswines.com/product/vega-sicilia-unico-1947/","https://rotamaguswines.com/product/vega-sicilia-unico-1947/")</f>
        <v>https://rotamaguswines.com/product/vega-sicilia-unico-1947/</v>
      </c>
      <c r="K350" s="8" t="s">
        <v>797</v>
      </c>
    </row>
    <row r="351" spans="1:11">
      <c r="A351" s="3" t="s">
        <v>795</v>
      </c>
      <c r="B351" s="5">
        <v>1947.0</v>
      </c>
      <c r="C351" s="3" t="s">
        <v>12</v>
      </c>
      <c r="D351" s="7">
        <v>947.0</v>
      </c>
      <c r="E351" s="3" t="s">
        <v>796</v>
      </c>
      <c r="F351" s="3" t="s">
        <v>777</v>
      </c>
      <c r="G351" s="3" t="s">
        <v>778</v>
      </c>
      <c r="H351" s="9" t="s">
        <v>778</v>
      </c>
      <c r="I351" s="9" t="s">
        <v>792</v>
      </c>
      <c r="J351" s="11" t="str">
        <f>HYPERLINK("https://rotamaguswines.com/product/vega-sicilia-unico-1947-2/","https://rotamaguswines.com/product/vega-sicilia-unico-1947-2/")</f>
        <v>https://rotamaguswines.com/product/vega-sicilia-unico-1947-2/</v>
      </c>
      <c r="K351" s="9" t="s">
        <v>798</v>
      </c>
    </row>
    <row r="352" spans="1:11">
      <c r="A352" s="2" t="s">
        <v>795</v>
      </c>
      <c r="B352" s="4">
        <v>1947.0</v>
      </c>
      <c r="C352" s="2" t="s">
        <v>12</v>
      </c>
      <c r="D352" s="6">
        <v>947.0</v>
      </c>
      <c r="E352" s="2" t="s">
        <v>796</v>
      </c>
      <c r="F352" s="2" t="s">
        <v>777</v>
      </c>
      <c r="G352" s="2" t="s">
        <v>778</v>
      </c>
      <c r="H352" s="8" t="s">
        <v>778</v>
      </c>
      <c r="I352" s="8" t="s">
        <v>792</v>
      </c>
      <c r="J352" s="10" t="str">
        <f>HYPERLINK("https://rotamaguswines.com/product/vega-sicilia-unico-1947-3/","https://rotamaguswines.com/product/vega-sicilia-unico-1947-3/")</f>
        <v>https://rotamaguswines.com/product/vega-sicilia-unico-1947-3/</v>
      </c>
      <c r="K352" s="8" t="s">
        <v>799</v>
      </c>
    </row>
    <row r="353" spans="1:11">
      <c r="A353" s="3" t="s">
        <v>800</v>
      </c>
      <c r="B353" s="5">
        <v>1953.0</v>
      </c>
      <c r="C353" s="3" t="s">
        <v>12</v>
      </c>
      <c r="D353" s="7">
        <v>947.0</v>
      </c>
      <c r="E353" s="3" t="s">
        <v>801</v>
      </c>
      <c r="F353" s="3" t="s">
        <v>777</v>
      </c>
      <c r="G353" s="3" t="s">
        <v>778</v>
      </c>
      <c r="H353" s="9" t="s">
        <v>778</v>
      </c>
      <c r="I353" s="9" t="s">
        <v>792</v>
      </c>
      <c r="J353" s="11" t="str">
        <f>HYPERLINK("https://rotamaguswines.com/product/vega-sicilia-unico-1953/","https://rotamaguswines.com/product/vega-sicilia-unico-1953/")</f>
        <v>https://rotamaguswines.com/product/vega-sicilia-unico-1953/</v>
      </c>
      <c r="K353" s="9" t="s">
        <v>802</v>
      </c>
    </row>
    <row r="354" spans="1:11">
      <c r="A354" s="2" t="s">
        <v>800</v>
      </c>
      <c r="B354" s="4">
        <v>1953.0</v>
      </c>
      <c r="C354" s="2" t="s">
        <v>12</v>
      </c>
      <c r="D354" s="6">
        <v>897.0</v>
      </c>
      <c r="E354" s="2" t="s">
        <v>803</v>
      </c>
      <c r="F354" s="2" t="s">
        <v>777</v>
      </c>
      <c r="G354" s="2" t="s">
        <v>778</v>
      </c>
      <c r="H354" s="8" t="s">
        <v>778</v>
      </c>
      <c r="I354" s="8" t="s">
        <v>792</v>
      </c>
      <c r="J354" s="10" t="str">
        <f>HYPERLINK("https://rotamaguswines.com/product/vega-sicilia-unico-1953-2/","https://rotamaguswines.com/product/vega-sicilia-unico-1953-2/")</f>
        <v>https://rotamaguswines.com/product/vega-sicilia-unico-1953-2/</v>
      </c>
      <c r="K354" s="8" t="s">
        <v>804</v>
      </c>
    </row>
    <row r="355" spans="1:11">
      <c r="A355" s="3" t="s">
        <v>800</v>
      </c>
      <c r="B355" s="5">
        <v>1953.0</v>
      </c>
      <c r="C355" s="3" t="s">
        <v>12</v>
      </c>
      <c r="D355" s="7">
        <v>897.0</v>
      </c>
      <c r="E355" s="3" t="s">
        <v>805</v>
      </c>
      <c r="F355" s="3" t="s">
        <v>777</v>
      </c>
      <c r="G355" s="3" t="s">
        <v>778</v>
      </c>
      <c r="H355" s="9" t="s">
        <v>778</v>
      </c>
      <c r="I355" s="9" t="s">
        <v>792</v>
      </c>
      <c r="J355" s="11" t="str">
        <f>HYPERLINK("https://rotamaguswines.com/product/vega-sicilia-unico-1953-3/","https://rotamaguswines.com/product/vega-sicilia-unico-1953-3/")</f>
        <v>https://rotamaguswines.com/product/vega-sicilia-unico-1953-3/</v>
      </c>
      <c r="K355" s="9" t="s">
        <v>806</v>
      </c>
    </row>
    <row r="356" spans="1:11">
      <c r="A356" s="2" t="s">
        <v>800</v>
      </c>
      <c r="B356" s="4">
        <v>1953.0</v>
      </c>
      <c r="C356" s="2" t="s">
        <v>12</v>
      </c>
      <c r="D356" s="6">
        <v>897.0</v>
      </c>
      <c r="E356" s="2" t="s">
        <v>805</v>
      </c>
      <c r="F356" s="2" t="s">
        <v>777</v>
      </c>
      <c r="G356" s="2" t="s">
        <v>778</v>
      </c>
      <c r="H356" s="8" t="s">
        <v>778</v>
      </c>
      <c r="I356" s="8" t="s">
        <v>792</v>
      </c>
      <c r="J356" s="10" t="str">
        <f>HYPERLINK("https://rotamaguswines.com/product/vega-sicilia-unico-1953-4/","https://rotamaguswines.com/product/vega-sicilia-unico-1953-4/")</f>
        <v>https://rotamaguswines.com/product/vega-sicilia-unico-1953-4/</v>
      </c>
      <c r="K356" s="8" t="s">
        <v>807</v>
      </c>
    </row>
    <row r="357" spans="1:11">
      <c r="A357" s="3" t="s">
        <v>800</v>
      </c>
      <c r="B357" s="5">
        <v>1953.0</v>
      </c>
      <c r="C357" s="3" t="s">
        <v>12</v>
      </c>
      <c r="D357" s="7">
        <v>837.0</v>
      </c>
      <c r="E357" s="3" t="s">
        <v>808</v>
      </c>
      <c r="F357" s="3" t="s">
        <v>777</v>
      </c>
      <c r="G357" s="3" t="s">
        <v>778</v>
      </c>
      <c r="H357" s="9" t="s">
        <v>778</v>
      </c>
      <c r="I357" s="9" t="s">
        <v>792</v>
      </c>
      <c r="J357" s="11" t="str">
        <f>HYPERLINK("https://rotamaguswines.com/product/vega-sicilia-unico-1953-5/","https://rotamaguswines.com/product/vega-sicilia-unico-1953-5/")</f>
        <v>https://rotamaguswines.com/product/vega-sicilia-unico-1953-5/</v>
      </c>
      <c r="K357" s="9" t="s">
        <v>809</v>
      </c>
    </row>
    <row r="358" spans="1:11">
      <c r="A358" s="2" t="s">
        <v>800</v>
      </c>
      <c r="B358" s="4">
        <v>1953.0</v>
      </c>
      <c r="C358" s="2" t="s">
        <v>12</v>
      </c>
      <c r="D358" s="6">
        <v>897.0</v>
      </c>
      <c r="E358" s="2" t="s">
        <v>810</v>
      </c>
      <c r="F358" s="2" t="s">
        <v>777</v>
      </c>
      <c r="G358" s="2" t="s">
        <v>778</v>
      </c>
      <c r="H358" s="8" t="s">
        <v>778</v>
      </c>
      <c r="I358" s="8" t="s">
        <v>792</v>
      </c>
      <c r="J358" s="10" t="str">
        <f>HYPERLINK("https://rotamaguswines.com/product/vega-sicilia-unico-1953-6/","https://rotamaguswines.com/product/vega-sicilia-unico-1953-6/")</f>
        <v>https://rotamaguswines.com/product/vega-sicilia-unico-1953-6/</v>
      </c>
      <c r="K358" s="8" t="s">
        <v>811</v>
      </c>
    </row>
    <row r="359" spans="1:11">
      <c r="A359" s="3" t="s">
        <v>812</v>
      </c>
      <c r="B359" s="5">
        <v>1959.0</v>
      </c>
      <c r="C359" s="3" t="s">
        <v>12</v>
      </c>
      <c r="D359" s="7">
        <v>687.0</v>
      </c>
      <c r="E359" s="3" t="s">
        <v>813</v>
      </c>
      <c r="F359" s="3" t="s">
        <v>777</v>
      </c>
      <c r="G359" s="3" t="s">
        <v>778</v>
      </c>
      <c r="H359" s="9" t="s">
        <v>778</v>
      </c>
      <c r="I359" s="9" t="s">
        <v>792</v>
      </c>
      <c r="J359" s="11" t="str">
        <f>HYPERLINK("https://rotamaguswines.com/product/vega-sicilia-unico-1959/","https://rotamaguswines.com/product/vega-sicilia-unico-1959/")</f>
        <v>https://rotamaguswines.com/product/vega-sicilia-unico-1959/</v>
      </c>
      <c r="K359" s="9" t="s">
        <v>814</v>
      </c>
    </row>
    <row r="360" spans="1:11">
      <c r="A360" s="2" t="s">
        <v>815</v>
      </c>
      <c r="B360" s="4">
        <v>1960.0</v>
      </c>
      <c r="C360" s="2" t="s">
        <v>132</v>
      </c>
      <c r="D360" s="6">
        <v>3000.0</v>
      </c>
      <c r="E360" s="2" t="s">
        <v>816</v>
      </c>
      <c r="F360" s="2" t="s">
        <v>777</v>
      </c>
      <c r="G360" s="2" t="s">
        <v>778</v>
      </c>
      <c r="H360" s="8" t="s">
        <v>778</v>
      </c>
      <c r="I360" s="8" t="s">
        <v>792</v>
      </c>
      <c r="J360" s="10" t="str">
        <f>HYPERLINK("https://rotamaguswines.com/product/vega-sicilia-unico-1960-magnum/","https://rotamaguswines.com/product/vega-sicilia-unico-1960-magnum/")</f>
        <v>https://rotamaguswines.com/product/vega-sicilia-unico-1960-magnum/</v>
      </c>
      <c r="K360" s="8" t="s">
        <v>817</v>
      </c>
    </row>
    <row r="361" spans="1:11">
      <c r="A361" s="3" t="s">
        <v>818</v>
      </c>
      <c r="B361" s="5">
        <v>1962.0</v>
      </c>
      <c r="C361" s="3" t="s">
        <v>12</v>
      </c>
      <c r="D361" s="7">
        <v>1047.0</v>
      </c>
      <c r="E361" s="3" t="s">
        <v>819</v>
      </c>
      <c r="F361" s="3" t="s">
        <v>777</v>
      </c>
      <c r="G361" s="3" t="s">
        <v>778</v>
      </c>
      <c r="H361" s="9" t="s">
        <v>778</v>
      </c>
      <c r="I361" s="9" t="s">
        <v>792</v>
      </c>
      <c r="J361" s="11" t="str">
        <f>HYPERLINK("https://rotamaguswines.com/product/vega-sicilia-unico-1962/","https://rotamaguswines.com/product/vega-sicilia-unico-1962/")</f>
        <v>https://rotamaguswines.com/product/vega-sicilia-unico-1962/</v>
      </c>
      <c r="K361" s="9" t="s">
        <v>820</v>
      </c>
    </row>
    <row r="362" spans="1:11">
      <c r="A362" s="2" t="s">
        <v>818</v>
      </c>
      <c r="B362" s="4">
        <v>1962.0</v>
      </c>
      <c r="C362" s="2" t="s">
        <v>12</v>
      </c>
      <c r="D362" s="6">
        <v>1400.0</v>
      </c>
      <c r="E362" s="2" t="s">
        <v>821</v>
      </c>
      <c r="F362" s="2" t="s">
        <v>777</v>
      </c>
      <c r="G362" s="2" t="s">
        <v>778</v>
      </c>
      <c r="H362" s="8" t="s">
        <v>778</v>
      </c>
      <c r="I362" s="8" t="s">
        <v>792</v>
      </c>
      <c r="J362" s="10" t="str">
        <f>HYPERLINK("https://rotamaguswines.com/product/vega-sicilia-unico-1962-2/","https://rotamaguswines.com/product/vega-sicilia-unico-1962-2/")</f>
        <v>https://rotamaguswines.com/product/vega-sicilia-unico-1962-2/</v>
      </c>
      <c r="K362" s="8" t="s">
        <v>822</v>
      </c>
    </row>
    <row r="363" spans="1:11">
      <c r="A363" s="3" t="s">
        <v>818</v>
      </c>
      <c r="B363" s="5">
        <v>1962.0</v>
      </c>
      <c r="C363" s="3" t="s">
        <v>12</v>
      </c>
      <c r="D363" s="7">
        <v>1400.0</v>
      </c>
      <c r="E363" s="3" t="s">
        <v>823</v>
      </c>
      <c r="F363" s="3" t="s">
        <v>777</v>
      </c>
      <c r="G363" s="3" t="s">
        <v>778</v>
      </c>
      <c r="H363" s="9" t="s">
        <v>778</v>
      </c>
      <c r="I363" s="9" t="s">
        <v>792</v>
      </c>
      <c r="J363" s="11" t="str">
        <f>HYPERLINK("https://rotamaguswines.com/product/vega-sicilia-unico-1962-3/","https://rotamaguswines.com/product/vega-sicilia-unico-1962-3/")</f>
        <v>https://rotamaguswines.com/product/vega-sicilia-unico-1962-3/</v>
      </c>
      <c r="K363" s="9" t="s">
        <v>824</v>
      </c>
    </row>
    <row r="364" spans="1:11">
      <c r="A364" s="2" t="s">
        <v>825</v>
      </c>
      <c r="B364" s="4">
        <v>1962.0</v>
      </c>
      <c r="C364" s="2" t="s">
        <v>132</v>
      </c>
      <c r="D364" s="6">
        <v>5000.0</v>
      </c>
      <c r="E364" s="2" t="s">
        <v>816</v>
      </c>
      <c r="F364" s="2" t="s">
        <v>777</v>
      </c>
      <c r="G364" s="2" t="s">
        <v>778</v>
      </c>
      <c r="H364" s="8" t="s">
        <v>778</v>
      </c>
      <c r="I364" s="8" t="s">
        <v>792</v>
      </c>
      <c r="J364" s="10" t="str">
        <f>HYPERLINK("https://rotamaguswines.com/product/vega-sicilia-unico-1962-magnum/","https://rotamaguswines.com/product/vega-sicilia-unico-1962-magnum/")</f>
        <v>https://rotamaguswines.com/product/vega-sicilia-unico-1962-magnum/</v>
      </c>
      <c r="K364" s="8" t="s">
        <v>826</v>
      </c>
    </row>
    <row r="365" spans="1:11">
      <c r="A365" s="3" t="s">
        <v>827</v>
      </c>
      <c r="B365" s="5">
        <v>1964.0</v>
      </c>
      <c r="C365" s="3" t="s">
        <v>12</v>
      </c>
      <c r="D365" s="7">
        <v>477.0</v>
      </c>
      <c r="E365" s="3" t="s">
        <v>828</v>
      </c>
      <c r="F365" s="3" t="s">
        <v>777</v>
      </c>
      <c r="G365" s="3" t="s">
        <v>778</v>
      </c>
      <c r="H365" s="9" t="s">
        <v>778</v>
      </c>
      <c r="I365" s="9" t="s">
        <v>792</v>
      </c>
      <c r="J365" s="11" t="str">
        <f>HYPERLINK("https://rotamaguswines.com/product/vega-sicilia-unico-1964/","https://rotamaguswines.com/product/vega-sicilia-unico-1964/")</f>
        <v>https://rotamaguswines.com/product/vega-sicilia-unico-1964/</v>
      </c>
      <c r="K365" s="9" t="s">
        <v>829</v>
      </c>
    </row>
    <row r="366" spans="1:11">
      <c r="A366" s="2" t="s">
        <v>827</v>
      </c>
      <c r="B366" s="4">
        <v>1964.0</v>
      </c>
      <c r="C366" s="2" t="s">
        <v>12</v>
      </c>
      <c r="D366" s="6">
        <v>477.0</v>
      </c>
      <c r="E366" s="2" t="s">
        <v>830</v>
      </c>
      <c r="F366" s="2" t="s">
        <v>777</v>
      </c>
      <c r="G366" s="2" t="s">
        <v>778</v>
      </c>
      <c r="H366" s="8" t="s">
        <v>778</v>
      </c>
      <c r="I366" s="8" t="s">
        <v>792</v>
      </c>
      <c r="J366" s="10" t="str">
        <f>HYPERLINK("https://rotamaguswines.com/product/vega-sicilia-unico-1964-2/","https://rotamaguswines.com/product/vega-sicilia-unico-1964-2/")</f>
        <v>https://rotamaguswines.com/product/vega-sicilia-unico-1964-2/</v>
      </c>
      <c r="K366" s="8" t="s">
        <v>831</v>
      </c>
    </row>
    <row r="367" spans="1:11">
      <c r="A367" s="3" t="s">
        <v>827</v>
      </c>
      <c r="B367" s="5">
        <v>1964.0</v>
      </c>
      <c r="C367" s="3" t="s">
        <v>12</v>
      </c>
      <c r="D367" s="7">
        <v>477.0</v>
      </c>
      <c r="E367" s="3" t="s">
        <v>828</v>
      </c>
      <c r="F367" s="3" t="s">
        <v>777</v>
      </c>
      <c r="G367" s="3" t="s">
        <v>778</v>
      </c>
      <c r="H367" s="9" t="s">
        <v>778</v>
      </c>
      <c r="I367" s="9" t="s">
        <v>792</v>
      </c>
      <c r="J367" s="11" t="str">
        <f>HYPERLINK("https://rotamaguswines.com/product/vega-sicilia-unico-1964-3/","https://rotamaguswines.com/product/vega-sicilia-unico-1964-3/")</f>
        <v>https://rotamaguswines.com/product/vega-sicilia-unico-1964-3/</v>
      </c>
      <c r="K367" s="9" t="s">
        <v>832</v>
      </c>
    </row>
    <row r="368" spans="1:11">
      <c r="A368" s="2" t="s">
        <v>827</v>
      </c>
      <c r="B368" s="4">
        <v>1964.0</v>
      </c>
      <c r="C368" s="2" t="s">
        <v>12</v>
      </c>
      <c r="D368" s="6">
        <v>477.0</v>
      </c>
      <c r="E368" s="2" t="s">
        <v>833</v>
      </c>
      <c r="F368" s="2" t="s">
        <v>777</v>
      </c>
      <c r="G368" s="2" t="s">
        <v>778</v>
      </c>
      <c r="H368" s="8" t="s">
        <v>778</v>
      </c>
      <c r="I368" s="8" t="s">
        <v>792</v>
      </c>
      <c r="J368" s="10" t="str">
        <f>HYPERLINK("https://rotamaguswines.com/product/vega-sicilia-unico-1964-4/","https://rotamaguswines.com/product/vega-sicilia-unico-1964-4/")</f>
        <v>https://rotamaguswines.com/product/vega-sicilia-unico-1964-4/</v>
      </c>
      <c r="K368" s="8" t="s">
        <v>834</v>
      </c>
    </row>
    <row r="369" spans="1:11">
      <c r="A369" s="3" t="s">
        <v>827</v>
      </c>
      <c r="B369" s="5">
        <v>1964.0</v>
      </c>
      <c r="C369" s="3" t="s">
        <v>12</v>
      </c>
      <c r="D369" s="7">
        <v>777.0</v>
      </c>
      <c r="E369" s="3" t="s">
        <v>835</v>
      </c>
      <c r="F369" s="3" t="s">
        <v>777</v>
      </c>
      <c r="G369" s="3" t="s">
        <v>778</v>
      </c>
      <c r="H369" s="9" t="s">
        <v>778</v>
      </c>
      <c r="I369" s="9" t="s">
        <v>792</v>
      </c>
      <c r="J369" s="11" t="str">
        <f>HYPERLINK("https://rotamaguswines.com/product/vega-sicilia-unico-1964-5/","https://rotamaguswines.com/product/vega-sicilia-unico-1964-5/")</f>
        <v>https://rotamaguswines.com/product/vega-sicilia-unico-1964-5/</v>
      </c>
      <c r="K369" s="9" t="s">
        <v>836</v>
      </c>
    </row>
    <row r="370" spans="1:11">
      <c r="A370" s="2" t="s">
        <v>827</v>
      </c>
      <c r="B370" s="4">
        <v>1964.0</v>
      </c>
      <c r="C370" s="2" t="s">
        <v>12</v>
      </c>
      <c r="D370" s="6">
        <v>777.0</v>
      </c>
      <c r="E370" s="2" t="s">
        <v>837</v>
      </c>
      <c r="F370" s="2" t="s">
        <v>777</v>
      </c>
      <c r="G370" s="2" t="s">
        <v>778</v>
      </c>
      <c r="H370" s="8" t="s">
        <v>778</v>
      </c>
      <c r="I370" s="8" t="s">
        <v>792</v>
      </c>
      <c r="J370" s="10" t="str">
        <f>HYPERLINK("https://rotamaguswines.com/product/vega-sicilia-unico-1964-6/","https://rotamaguswines.com/product/vega-sicilia-unico-1964-6/")</f>
        <v>https://rotamaguswines.com/product/vega-sicilia-unico-1964-6/</v>
      </c>
      <c r="K370" s="8" t="s">
        <v>838</v>
      </c>
    </row>
    <row r="371" spans="1:11">
      <c r="A371" s="3" t="s">
        <v>839</v>
      </c>
      <c r="B371" s="5">
        <v>1966.0</v>
      </c>
      <c r="C371" s="3" t="s">
        <v>12</v>
      </c>
      <c r="D371" s="7">
        <v>777.0</v>
      </c>
      <c r="E371" s="3"/>
      <c r="F371" s="3" t="s">
        <v>777</v>
      </c>
      <c r="G371" s="3" t="s">
        <v>778</v>
      </c>
      <c r="H371" s="9" t="s">
        <v>778</v>
      </c>
      <c r="I371" s="9" t="s">
        <v>792</v>
      </c>
      <c r="J371" s="11" t="str">
        <f>HYPERLINK("https://rotamaguswines.com/product/vega-sicilia-unico-1966/","https://rotamaguswines.com/product/vega-sicilia-unico-1966/")</f>
        <v>https://rotamaguswines.com/product/vega-sicilia-unico-1966/</v>
      </c>
      <c r="K371" s="9" t="s">
        <v>840</v>
      </c>
    </row>
    <row r="372" spans="1:11">
      <c r="A372" s="2" t="s">
        <v>841</v>
      </c>
      <c r="B372" s="4">
        <v>1968.0</v>
      </c>
      <c r="C372" s="2" t="s">
        <v>12</v>
      </c>
      <c r="D372" s="6">
        <v>1200.0</v>
      </c>
      <c r="E372" s="2" t="s">
        <v>842</v>
      </c>
      <c r="F372" s="2" t="s">
        <v>777</v>
      </c>
      <c r="G372" s="2" t="s">
        <v>778</v>
      </c>
      <c r="H372" s="8" t="s">
        <v>778</v>
      </c>
      <c r="I372" s="8" t="s">
        <v>792</v>
      </c>
      <c r="J372" s="10" t="str">
        <f>HYPERLINK("https://rotamaguswines.com/product/vega-sicilia-unico-1968/","https://rotamaguswines.com/product/vega-sicilia-unico-1968/")</f>
        <v>https://rotamaguswines.com/product/vega-sicilia-unico-1968/</v>
      </c>
      <c r="K372" s="8" t="s">
        <v>843</v>
      </c>
    </row>
    <row r="373" spans="1:11">
      <c r="A373" s="3" t="s">
        <v>844</v>
      </c>
      <c r="B373" s="5">
        <v>1968.0</v>
      </c>
      <c r="C373" s="3" t="s">
        <v>132</v>
      </c>
      <c r="D373" s="7">
        <v>5500.0</v>
      </c>
      <c r="E373" s="3" t="s">
        <v>845</v>
      </c>
      <c r="F373" s="3" t="s">
        <v>777</v>
      </c>
      <c r="G373" s="3" t="s">
        <v>778</v>
      </c>
      <c r="H373" s="9" t="s">
        <v>778</v>
      </c>
      <c r="I373" s="9" t="s">
        <v>792</v>
      </c>
      <c r="J373" s="11" t="str">
        <f>HYPERLINK("https://rotamaguswines.com/product/vega-sicilia-unico-1968-magnum/","https://rotamaguswines.com/product/vega-sicilia-unico-1968-magnum/")</f>
        <v>https://rotamaguswines.com/product/vega-sicilia-unico-1968-magnum/</v>
      </c>
      <c r="K373" s="9" t="s">
        <v>846</v>
      </c>
    </row>
    <row r="374" spans="1:11">
      <c r="A374" s="2" t="s">
        <v>847</v>
      </c>
      <c r="B374" s="4">
        <v>1970.0</v>
      </c>
      <c r="C374" s="2" t="s">
        <v>132</v>
      </c>
      <c r="D374" s="6">
        <v>3500.0</v>
      </c>
      <c r="E374" s="2" t="s">
        <v>848</v>
      </c>
      <c r="F374" s="2" t="s">
        <v>777</v>
      </c>
      <c r="G374" s="2" t="s">
        <v>778</v>
      </c>
      <c r="H374" s="8" t="s">
        <v>778</v>
      </c>
      <c r="I374" s="8" t="s">
        <v>792</v>
      </c>
      <c r="J374" s="10" t="str">
        <f>HYPERLINK("https://rotamaguswines.com/product/vega-sicilia-unico-1970-magnum/","https://rotamaguswines.com/product/vega-sicilia-unico-1970-magnum/")</f>
        <v>https://rotamaguswines.com/product/vega-sicilia-unico-1970-magnum/</v>
      </c>
      <c r="K374" s="8" t="s">
        <v>849</v>
      </c>
    </row>
    <row r="375" spans="1:11">
      <c r="A375" s="3" t="s">
        <v>850</v>
      </c>
      <c r="B375" s="5">
        <v>1972.0</v>
      </c>
      <c r="C375" s="3" t="s">
        <v>132</v>
      </c>
      <c r="D375" s="7">
        <v>947.0</v>
      </c>
      <c r="E375" s="3" t="s">
        <v>851</v>
      </c>
      <c r="F375" s="3" t="s">
        <v>777</v>
      </c>
      <c r="G375" s="3" t="s">
        <v>778</v>
      </c>
      <c r="H375" s="9" t="s">
        <v>778</v>
      </c>
      <c r="I375" s="9" t="s">
        <v>792</v>
      </c>
      <c r="J375" s="11" t="str">
        <f>HYPERLINK("https://rotamaguswines.com/product/vega-sicilia-unico-1972-magnum/","https://rotamaguswines.com/product/vega-sicilia-unico-1972-magnum/")</f>
        <v>https://rotamaguswines.com/product/vega-sicilia-unico-1972-magnum/</v>
      </c>
      <c r="K375" s="9" t="s">
        <v>852</v>
      </c>
    </row>
    <row r="376" spans="1:11">
      <c r="A376" s="2" t="s">
        <v>850</v>
      </c>
      <c r="B376" s="4">
        <v>1972.0</v>
      </c>
      <c r="C376" s="2" t="s">
        <v>132</v>
      </c>
      <c r="D376" s="6">
        <v>1400.0</v>
      </c>
      <c r="E376" s="2" t="s">
        <v>853</v>
      </c>
      <c r="F376" s="2" t="s">
        <v>777</v>
      </c>
      <c r="G376" s="2" t="s">
        <v>778</v>
      </c>
      <c r="H376" s="8" t="s">
        <v>778</v>
      </c>
      <c r="I376" s="8" t="s">
        <v>792</v>
      </c>
      <c r="J376" s="10" t="str">
        <f>HYPERLINK("https://rotamaguswines.com/product/vega-sicilia-unico-1972-magnum-2/","https://rotamaguswines.com/product/vega-sicilia-unico-1972-magnum-2/")</f>
        <v>https://rotamaguswines.com/product/vega-sicilia-unico-1972-magnum-2/</v>
      </c>
      <c r="K376" s="8" t="s">
        <v>854</v>
      </c>
    </row>
    <row r="377" spans="1:11">
      <c r="A377" s="3" t="s">
        <v>855</v>
      </c>
      <c r="B377" s="5">
        <v>1974.0</v>
      </c>
      <c r="C377" s="3" t="s">
        <v>12</v>
      </c>
      <c r="D377" s="7">
        <v>637.0</v>
      </c>
      <c r="E377" s="3" t="s">
        <v>856</v>
      </c>
      <c r="F377" s="3" t="s">
        <v>777</v>
      </c>
      <c r="G377" s="3" t="s">
        <v>778</v>
      </c>
      <c r="H377" s="9" t="s">
        <v>778</v>
      </c>
      <c r="I377" s="9" t="s">
        <v>792</v>
      </c>
      <c r="J377" s="11" t="str">
        <f>HYPERLINK("https://rotamaguswines.com/product/vega-sicilia-unico-1974/","https://rotamaguswines.com/product/vega-sicilia-unico-1974/")</f>
        <v>https://rotamaguswines.com/product/vega-sicilia-unico-1974/</v>
      </c>
      <c r="K377" s="9" t="s">
        <v>857</v>
      </c>
    </row>
    <row r="378" spans="1:11">
      <c r="A378" s="2" t="s">
        <v>855</v>
      </c>
      <c r="B378" s="4">
        <v>1974.0</v>
      </c>
      <c r="C378" s="2" t="s">
        <v>12</v>
      </c>
      <c r="D378" s="6">
        <v>637.0</v>
      </c>
      <c r="E378" s="2" t="s">
        <v>858</v>
      </c>
      <c r="F378" s="2" t="s">
        <v>777</v>
      </c>
      <c r="G378" s="2" t="s">
        <v>778</v>
      </c>
      <c r="H378" s="8" t="s">
        <v>778</v>
      </c>
      <c r="I378" s="8" t="s">
        <v>792</v>
      </c>
      <c r="J378" s="10" t="str">
        <f>HYPERLINK("https://rotamaguswines.com/product/vega-sicilia-unico-1974-2/","https://rotamaguswines.com/product/vega-sicilia-unico-1974-2/")</f>
        <v>https://rotamaguswines.com/product/vega-sicilia-unico-1974-2/</v>
      </c>
      <c r="K378" s="8" t="s">
        <v>859</v>
      </c>
    </row>
    <row r="379" spans="1:11">
      <c r="A379" s="3" t="s">
        <v>860</v>
      </c>
      <c r="B379" s="5">
        <v>1975.0</v>
      </c>
      <c r="C379" s="3" t="s">
        <v>132</v>
      </c>
      <c r="D379" s="7">
        <v>2500.0</v>
      </c>
      <c r="E379" s="3" t="s">
        <v>845</v>
      </c>
      <c r="F379" s="3" t="s">
        <v>777</v>
      </c>
      <c r="G379" s="3" t="s">
        <v>778</v>
      </c>
      <c r="H379" s="9" t="s">
        <v>778</v>
      </c>
      <c r="I379" s="9" t="s">
        <v>792</v>
      </c>
      <c r="J379" s="11" t="str">
        <f>HYPERLINK("https://rotamaguswines.com/product/vega-sicilia-unico-1975-magnum/","https://rotamaguswines.com/product/vega-sicilia-unico-1975-magnum/")</f>
        <v>https://rotamaguswines.com/product/vega-sicilia-unico-1975-magnum/</v>
      </c>
      <c r="K379" s="9" t="s">
        <v>861</v>
      </c>
    </row>
    <row r="380" spans="1:11">
      <c r="A380" s="2" t="s">
        <v>862</v>
      </c>
      <c r="B380" s="4">
        <v>1976.0</v>
      </c>
      <c r="C380" s="2" t="s">
        <v>132</v>
      </c>
      <c r="D380" s="6">
        <v>2500.0</v>
      </c>
      <c r="E380" s="2" t="s">
        <v>845</v>
      </c>
      <c r="F380" s="2" t="s">
        <v>777</v>
      </c>
      <c r="G380" s="2" t="s">
        <v>778</v>
      </c>
      <c r="H380" s="8" t="s">
        <v>778</v>
      </c>
      <c r="I380" s="8" t="s">
        <v>792</v>
      </c>
      <c r="J380" s="10" t="str">
        <f>HYPERLINK("https://rotamaguswines.com/product/vega-sicilia-unico-1976-magnum/","https://rotamaguswines.com/product/vega-sicilia-unico-1976-magnum/")</f>
        <v>https://rotamaguswines.com/product/vega-sicilia-unico-1976-magnum/</v>
      </c>
      <c r="K380" s="8" t="s">
        <v>863</v>
      </c>
    </row>
    <row r="381" spans="1:11">
      <c r="A381" s="3" t="s">
        <v>864</v>
      </c>
      <c r="B381" s="5">
        <v>1979.0</v>
      </c>
      <c r="C381" s="3" t="s">
        <v>132</v>
      </c>
      <c r="D381" s="7">
        <v>1800.0</v>
      </c>
      <c r="E381" s="3" t="s">
        <v>845</v>
      </c>
      <c r="F381" s="3" t="s">
        <v>777</v>
      </c>
      <c r="G381" s="3" t="s">
        <v>778</v>
      </c>
      <c r="H381" s="9" t="s">
        <v>778</v>
      </c>
      <c r="I381" s="9" t="s">
        <v>792</v>
      </c>
      <c r="J381" s="11" t="str">
        <f>HYPERLINK("https://rotamaguswines.com/product/vega-sicilia-unico-1979-magnum/","https://rotamaguswines.com/product/vega-sicilia-unico-1979-magnum/")</f>
        <v>https://rotamaguswines.com/product/vega-sicilia-unico-1979-magnum/</v>
      </c>
      <c r="K381" s="9" t="s">
        <v>865</v>
      </c>
    </row>
    <row r="382" spans="1:11">
      <c r="A382" s="2" t="s">
        <v>866</v>
      </c>
      <c r="B382" s="4">
        <v>1980.0</v>
      </c>
      <c r="C382" s="2" t="s">
        <v>132</v>
      </c>
      <c r="D382" s="6">
        <v>1800.0</v>
      </c>
      <c r="E382" s="2" t="s">
        <v>867</v>
      </c>
      <c r="F382" s="2" t="s">
        <v>777</v>
      </c>
      <c r="G382" s="2" t="s">
        <v>778</v>
      </c>
      <c r="H382" s="8" t="s">
        <v>778</v>
      </c>
      <c r="I382" s="8" t="s">
        <v>792</v>
      </c>
      <c r="J382" s="10" t="str">
        <f>HYPERLINK("https://rotamaguswines.com/product/vega-sicilia-unico-1980-magnum/","https://rotamaguswines.com/product/vega-sicilia-unico-1980-magnum/")</f>
        <v>https://rotamaguswines.com/product/vega-sicilia-unico-1980-magnum/</v>
      </c>
      <c r="K382" s="8" t="s">
        <v>868</v>
      </c>
    </row>
    <row r="383" spans="1:11">
      <c r="A383" s="3" t="s">
        <v>869</v>
      </c>
      <c r="B383" s="5">
        <v>1981.0</v>
      </c>
      <c r="C383" s="3" t="s">
        <v>132</v>
      </c>
      <c r="D383" s="7">
        <v>2500.0</v>
      </c>
      <c r="E383" s="3" t="s">
        <v>845</v>
      </c>
      <c r="F383" s="3" t="s">
        <v>777</v>
      </c>
      <c r="G383" s="3" t="s">
        <v>778</v>
      </c>
      <c r="H383" s="9" t="s">
        <v>778</v>
      </c>
      <c r="I383" s="9" t="s">
        <v>792</v>
      </c>
      <c r="J383" s="11" t="str">
        <f>HYPERLINK("https://rotamaguswines.com/product/vega-sicilia-unico-1981-magnum/","https://rotamaguswines.com/product/vega-sicilia-unico-1981-magnum/")</f>
        <v>https://rotamaguswines.com/product/vega-sicilia-unico-1981-magnum/</v>
      </c>
      <c r="K383" s="9" t="s">
        <v>870</v>
      </c>
    </row>
    <row r="384" spans="1:11">
      <c r="A384" s="2" t="s">
        <v>871</v>
      </c>
      <c r="B384" s="4">
        <v>1982.0</v>
      </c>
      <c r="C384" s="2" t="s">
        <v>132</v>
      </c>
      <c r="D384" s="6">
        <v>2500.0</v>
      </c>
      <c r="E384" s="2" t="s">
        <v>867</v>
      </c>
      <c r="F384" s="2" t="s">
        <v>777</v>
      </c>
      <c r="G384" s="2" t="s">
        <v>778</v>
      </c>
      <c r="H384" s="8" t="s">
        <v>778</v>
      </c>
      <c r="I384" s="8" t="s">
        <v>792</v>
      </c>
      <c r="J384" s="10" t="str">
        <f>HYPERLINK("https://rotamaguswines.com/product/vega-sicilia-unico-1982-magnum/","https://rotamaguswines.com/product/vega-sicilia-unico-1982-magnum/")</f>
        <v>https://rotamaguswines.com/product/vega-sicilia-unico-1982-magnum/</v>
      </c>
      <c r="K384" s="8" t="s">
        <v>872</v>
      </c>
    </row>
    <row r="385" spans="1:11">
      <c r="A385" s="3" t="s">
        <v>873</v>
      </c>
      <c r="B385" s="5">
        <v>1983.0</v>
      </c>
      <c r="C385" s="3" t="s">
        <v>12</v>
      </c>
      <c r="D385" s="7">
        <v>227.0</v>
      </c>
      <c r="E385" s="3" t="s">
        <v>874</v>
      </c>
      <c r="F385" s="3" t="s">
        <v>777</v>
      </c>
      <c r="G385" s="3" t="s">
        <v>778</v>
      </c>
      <c r="H385" s="9" t="s">
        <v>778</v>
      </c>
      <c r="I385" s="9" t="s">
        <v>792</v>
      </c>
      <c r="J385" s="11" t="str">
        <f>HYPERLINK("https://rotamaguswines.com/product/vega-sicilia-unico-1983/","https://rotamaguswines.com/product/vega-sicilia-unico-1983/")</f>
        <v>https://rotamaguswines.com/product/vega-sicilia-unico-1983/</v>
      </c>
      <c r="K385" s="9" t="s">
        <v>875</v>
      </c>
    </row>
    <row r="386" spans="1:11">
      <c r="A386" s="2" t="s">
        <v>876</v>
      </c>
      <c r="B386" s="4">
        <v>1985.0</v>
      </c>
      <c r="C386" s="2" t="s">
        <v>641</v>
      </c>
      <c r="D386" s="6">
        <v>2750.0</v>
      </c>
      <c r="E386" s="2" t="s">
        <v>877</v>
      </c>
      <c r="F386" s="2" t="s">
        <v>777</v>
      </c>
      <c r="G386" s="2" t="s">
        <v>778</v>
      </c>
      <c r="H386" s="8" t="s">
        <v>778</v>
      </c>
      <c r="I386" s="8" t="s">
        <v>792</v>
      </c>
      <c r="J386" s="10" t="str">
        <f>HYPERLINK("https://rotamaguswines.com/product/vega-sicilia-unico-1985-double-magnum/","https://rotamaguswines.com/product/vega-sicilia-unico-1985-double-magnum/")</f>
        <v>https://rotamaguswines.com/product/vega-sicilia-unico-1985-double-magnum/</v>
      </c>
      <c r="K386" s="8" t="s">
        <v>878</v>
      </c>
    </row>
    <row r="387" spans="1:11">
      <c r="A387" s="3" t="s">
        <v>879</v>
      </c>
      <c r="B387" s="5">
        <v>1985.0</v>
      </c>
      <c r="C387" s="3" t="s">
        <v>132</v>
      </c>
      <c r="D387" s="7">
        <v>2000.0</v>
      </c>
      <c r="E387" s="3" t="s">
        <v>848</v>
      </c>
      <c r="F387" s="3" t="s">
        <v>777</v>
      </c>
      <c r="G387" s="3" t="s">
        <v>778</v>
      </c>
      <c r="H387" s="9" t="s">
        <v>778</v>
      </c>
      <c r="I387" s="9" t="s">
        <v>792</v>
      </c>
      <c r="J387" s="11" t="str">
        <f>HYPERLINK("https://rotamaguswines.com/product/vega-sicilia-unico-1985-magnum/","https://rotamaguswines.com/product/vega-sicilia-unico-1985-magnum/")</f>
        <v>https://rotamaguswines.com/product/vega-sicilia-unico-1985-magnum/</v>
      </c>
      <c r="K387" s="9" t="s">
        <v>880</v>
      </c>
    </row>
    <row r="388" spans="1:11">
      <c r="A388" s="2" t="s">
        <v>881</v>
      </c>
      <c r="B388" s="4">
        <v>1986.0</v>
      </c>
      <c r="C388" s="2" t="s">
        <v>12</v>
      </c>
      <c r="D388" s="6">
        <v>477.0</v>
      </c>
      <c r="E388" s="2"/>
      <c r="F388" s="2" t="s">
        <v>777</v>
      </c>
      <c r="G388" s="2" t="s">
        <v>778</v>
      </c>
      <c r="H388" s="8" t="s">
        <v>778</v>
      </c>
      <c r="I388" s="8" t="s">
        <v>792</v>
      </c>
      <c r="J388" s="10" t="str">
        <f>HYPERLINK("https://rotamaguswines.com/product/vega-sicilia-unico-1986/","https://rotamaguswines.com/product/vega-sicilia-unico-1986/")</f>
        <v>https://rotamaguswines.com/product/vega-sicilia-unico-1986/</v>
      </c>
      <c r="K388" s="8" t="s">
        <v>882</v>
      </c>
    </row>
    <row r="389" spans="1:11">
      <c r="A389" s="3" t="s">
        <v>883</v>
      </c>
      <c r="B389" s="5">
        <v>1986.0</v>
      </c>
      <c r="C389" s="3" t="s">
        <v>132</v>
      </c>
      <c r="D389" s="7">
        <v>2000.0</v>
      </c>
      <c r="E389" s="3" t="s">
        <v>848</v>
      </c>
      <c r="F389" s="3" t="s">
        <v>777</v>
      </c>
      <c r="G389" s="3" t="s">
        <v>778</v>
      </c>
      <c r="H389" s="9" t="s">
        <v>778</v>
      </c>
      <c r="I389" s="9" t="s">
        <v>792</v>
      </c>
      <c r="J389" s="11" t="str">
        <f>HYPERLINK("https://rotamaguswines.com/product/vega-sicilia-unico-1986-magnum/","https://rotamaguswines.com/product/vega-sicilia-unico-1986-magnum/")</f>
        <v>https://rotamaguswines.com/product/vega-sicilia-unico-1986-magnum/</v>
      </c>
      <c r="K389" s="9" t="s">
        <v>884</v>
      </c>
    </row>
    <row r="390" spans="1:11">
      <c r="A390" s="2" t="s">
        <v>885</v>
      </c>
      <c r="B390" s="4">
        <v>1987.0</v>
      </c>
      <c r="C390" s="2" t="s">
        <v>132</v>
      </c>
      <c r="D390" s="6">
        <v>2000.0</v>
      </c>
      <c r="E390" s="2" t="s">
        <v>886</v>
      </c>
      <c r="F390" s="2" t="s">
        <v>777</v>
      </c>
      <c r="G390" s="2" t="s">
        <v>778</v>
      </c>
      <c r="H390" s="8" t="s">
        <v>778</v>
      </c>
      <c r="I390" s="8" t="s">
        <v>792</v>
      </c>
      <c r="J390" s="10" t="str">
        <f>HYPERLINK("https://rotamaguswines.com/product/vega-sicilia-unico-1987-magnum/","https://rotamaguswines.com/product/vega-sicilia-unico-1987-magnum/")</f>
        <v>https://rotamaguswines.com/product/vega-sicilia-unico-1987-magnum/</v>
      </c>
      <c r="K390" s="8" t="s">
        <v>887</v>
      </c>
    </row>
    <row r="391" spans="1:11">
      <c r="A391" s="3" t="s">
        <v>888</v>
      </c>
      <c r="B391" s="5">
        <v>1989.0</v>
      </c>
      <c r="C391" s="3" t="s">
        <v>132</v>
      </c>
      <c r="D391" s="7">
        <v>2000.0</v>
      </c>
      <c r="E391" s="3" t="s">
        <v>848</v>
      </c>
      <c r="F391" s="3" t="s">
        <v>777</v>
      </c>
      <c r="G391" s="3" t="s">
        <v>778</v>
      </c>
      <c r="H391" s="9" t="s">
        <v>778</v>
      </c>
      <c r="I391" s="9" t="s">
        <v>792</v>
      </c>
      <c r="J391" s="11" t="str">
        <f>HYPERLINK("https://rotamaguswines.com/product/vega-sicilia-unico-1989-magnum/","https://rotamaguswines.com/product/vega-sicilia-unico-1989-magnum/")</f>
        <v>https://rotamaguswines.com/product/vega-sicilia-unico-1989-magnum/</v>
      </c>
      <c r="K391" s="9" t="s">
        <v>889</v>
      </c>
    </row>
    <row r="392" spans="1:11">
      <c r="A392" s="2" t="s">
        <v>890</v>
      </c>
      <c r="B392" s="4">
        <v>1999.0</v>
      </c>
      <c r="C392" s="2" t="s">
        <v>132</v>
      </c>
      <c r="D392" s="6">
        <v>1500.0</v>
      </c>
      <c r="E392" s="2" t="s">
        <v>848</v>
      </c>
      <c r="F392" s="2" t="s">
        <v>777</v>
      </c>
      <c r="G392" s="2" t="s">
        <v>778</v>
      </c>
      <c r="H392" s="8" t="s">
        <v>778</v>
      </c>
      <c r="I392" s="8" t="s">
        <v>792</v>
      </c>
      <c r="J392" s="10" t="str">
        <f>HYPERLINK("https://rotamaguswines.com/product/vega-sicilia-unico-1999-magnum/","https://rotamaguswines.com/product/vega-sicilia-unico-1999-magnum/")</f>
        <v>https://rotamaguswines.com/product/vega-sicilia-unico-1999-magnum/</v>
      </c>
      <c r="K392" s="8" t="s">
        <v>891</v>
      </c>
    </row>
    <row r="393" spans="1:11">
      <c r="A393" s="3" t="s">
        <v>892</v>
      </c>
      <c r="B393" s="5">
        <v>2000.0</v>
      </c>
      <c r="C393" s="3" t="s">
        <v>132</v>
      </c>
      <c r="D393" s="7">
        <v>1100.0</v>
      </c>
      <c r="E393" s="3" t="s">
        <v>848</v>
      </c>
      <c r="F393" s="3" t="s">
        <v>777</v>
      </c>
      <c r="G393" s="3" t="s">
        <v>778</v>
      </c>
      <c r="H393" s="9" t="s">
        <v>778</v>
      </c>
      <c r="I393" s="9" t="s">
        <v>792</v>
      </c>
      <c r="J393" s="11" t="str">
        <f>HYPERLINK("https://rotamaguswines.com/product/vega-sicilia-unico-2000-magnum/","https://rotamaguswines.com/product/vega-sicilia-unico-2000-magnum/")</f>
        <v>https://rotamaguswines.com/product/vega-sicilia-unico-2000-magnum/</v>
      </c>
      <c r="K393" s="9" t="s">
        <v>893</v>
      </c>
    </row>
    <row r="394" spans="1:11">
      <c r="A394" s="2" t="s">
        <v>894</v>
      </c>
      <c r="B394" s="4">
        <v>2002.0</v>
      </c>
      <c r="C394" s="2" t="s">
        <v>132</v>
      </c>
      <c r="D394" s="6">
        <v>1100.0</v>
      </c>
      <c r="E394" s="2" t="s">
        <v>848</v>
      </c>
      <c r="F394" s="2" t="s">
        <v>777</v>
      </c>
      <c r="G394" s="2" t="s">
        <v>778</v>
      </c>
      <c r="H394" s="8" t="s">
        <v>778</v>
      </c>
      <c r="I394" s="8" t="s">
        <v>792</v>
      </c>
      <c r="J394" s="10" t="str">
        <f>HYPERLINK("https://rotamaguswines.com/product/vega-sicilia-unico-2002-magnum/","https://rotamaguswines.com/product/vega-sicilia-unico-2002-magnum/")</f>
        <v>https://rotamaguswines.com/product/vega-sicilia-unico-2002-magnum/</v>
      </c>
      <c r="K394" s="8" t="s">
        <v>895</v>
      </c>
    </row>
    <row r="395" spans="1:11">
      <c r="A395" s="3" t="s">
        <v>896</v>
      </c>
      <c r="B395" s="5">
        <v>1925.0</v>
      </c>
      <c r="C395" s="3" t="s">
        <v>12</v>
      </c>
      <c r="D395" s="7">
        <v>1060.0</v>
      </c>
      <c r="E395" s="3" t="s">
        <v>897</v>
      </c>
      <c r="F395" s="3" t="s">
        <v>777</v>
      </c>
      <c r="G395" s="3" t="s">
        <v>778</v>
      </c>
      <c r="H395" s="9" t="s">
        <v>778</v>
      </c>
      <c r="I395" s="9" t="s">
        <v>898</v>
      </c>
      <c r="J395" s="11" t="str">
        <f>HYPERLINK("https://rotamaguswines.com/product/ygay-riserva-especial-1925/","https://rotamaguswines.com/product/ygay-riserva-especial-1925/")</f>
        <v>https://rotamaguswines.com/product/ygay-riserva-especial-1925/</v>
      </c>
      <c r="K395" s="9" t="s">
        <v>899</v>
      </c>
    </row>
    <row r="396" spans="1:11">
      <c r="A396" s="2" t="s">
        <v>900</v>
      </c>
      <c r="B396" s="4">
        <v>1974.0</v>
      </c>
      <c r="C396" s="2" t="s">
        <v>12</v>
      </c>
      <c r="D396" s="6">
        <v>2900.0</v>
      </c>
      <c r="E396" s="2" t="s">
        <v>901</v>
      </c>
      <c r="F396" s="2" t="s">
        <v>902</v>
      </c>
      <c r="G396" s="2" t="s">
        <v>903</v>
      </c>
      <c r="H396" s="8" t="s">
        <v>904</v>
      </c>
      <c r="I396" s="8" t="s">
        <v>905</v>
      </c>
      <c r="J396" s="10" t="str">
        <f>HYPERLINK("https://rotamaguswines.com/product/whisky-campbeltown-single-malt-longrown-25-years-old-1974/","https://rotamaguswines.com/product/whisky-campbeltown-single-malt-longrown-25-years-old-1974/")</f>
        <v>https://rotamaguswines.com/product/whisky-campbeltown-single-malt-longrown-25-years-old-1974/</v>
      </c>
      <c r="K396" s="8" t="s">
        <v>906</v>
      </c>
    </row>
    <row r="397" spans="1:11">
      <c r="A397" s="3" t="s">
        <v>907</v>
      </c>
      <c r="B397" s="5">
        <v>1970.0</v>
      </c>
      <c r="C397" s="3" t="s">
        <v>12</v>
      </c>
      <c r="D397" s="7">
        <v>297.0</v>
      </c>
      <c r="E397" s="3" t="s">
        <v>908</v>
      </c>
      <c r="F397" s="3" t="s">
        <v>902</v>
      </c>
      <c r="G397" s="3" t="s">
        <v>903</v>
      </c>
      <c r="H397" s="9" t="s">
        <v>904</v>
      </c>
      <c r="I397" s="9" t="s">
        <v>909</v>
      </c>
      <c r="J397" s="11" t="str">
        <f>HYPERLINK("https://rotamaguswines.com/product/whisky-glen-albyn-10-years-old-60s-70s/","https://rotamaguswines.com/product/whisky-glen-albyn-10-years-old-60s-70s/")</f>
        <v>https://rotamaguswines.com/product/whisky-glen-albyn-10-years-old-60s-70s/</v>
      </c>
      <c r="K397" s="9" t="s">
        <v>910</v>
      </c>
    </row>
    <row r="398" spans="1:11">
      <c r="A398" s="2" t="s">
        <v>911</v>
      </c>
      <c r="B398" s="4">
        <v>1982.0</v>
      </c>
      <c r="C398" s="2" t="s">
        <v>12</v>
      </c>
      <c r="D398" s="6">
        <v>1280.0</v>
      </c>
      <c r="E398" s="2" t="s">
        <v>912</v>
      </c>
      <c r="F398" s="2" t="s">
        <v>913</v>
      </c>
      <c r="G398" s="2" t="s">
        <v>914</v>
      </c>
      <c r="H398" s="8" t="s">
        <v>904</v>
      </c>
      <c r="I398" s="8" t="s">
        <v>915</v>
      </c>
      <c r="J398" s="10" t="str">
        <f>HYPERLINK("https://rotamaguswines.com/product/whiskey-weller-and-sons-kentucky-straight-bourbon-original-107/","https://rotamaguswines.com/product/whiskey-weller-and-sons-kentucky-straight-bourbon-original-107/")</f>
        <v>https://rotamaguswines.com/product/whiskey-weller-and-sons-kentucky-straight-bourbon-original-107/</v>
      </c>
      <c r="K398" s="8" t="s">
        <v>916</v>
      </c>
    </row>
  </sheetData>
  <autoFilter ref="A1:K398"/>
  <hyperlinks>
    <hyperlink ref="J2" r:id="rId_hyperlink_1" tooltip="https://rotamaguswines.com/product/margaux-1953/" display="https://rotamaguswines.com/product/margaux-1953/"/>
    <hyperlink ref="J3" r:id="rId_hyperlink_2" tooltip="https://rotamaguswines.com/product/palmer-1955/" display="https://rotamaguswines.com/product/palmer-1955/"/>
    <hyperlink ref="J4" r:id="rId_hyperlink_3" tooltip="https://rotamaguswines.com/product/palmer-1959/" display="https://rotamaguswines.com/product/palmer-1959/"/>
    <hyperlink ref="J5" r:id="rId_hyperlink_4" tooltip="https://rotamaguswines.com/product/palmer-1961-owc12/" display="https://rotamaguswines.com/product/palmer-1961-owc12/"/>
    <hyperlink ref="J6" r:id="rId_hyperlink_5" tooltip="https://rotamaguswines.com/product/darmailhacq-1916/" display="https://rotamaguswines.com/product/darmailhacq-1916/"/>
    <hyperlink ref="J7" r:id="rId_hyperlink_6" tooltip="https://rotamaguswines.com/product/darmailhacq-1916-2/" display="https://rotamaguswines.com/product/darmailhacq-1916-2/"/>
    <hyperlink ref="J8" r:id="rId_hyperlink_7" tooltip="https://rotamaguswines.com/product/lafite-rothschild-1902/" display="https://rotamaguswines.com/product/lafite-rothschild-1902/"/>
    <hyperlink ref="J9" r:id="rId_hyperlink_8" tooltip="https://rotamaguswines.com/product/lafite-rothschild-1953/" display="https://rotamaguswines.com/product/lafite-rothschild-1953/"/>
    <hyperlink ref="J10" r:id="rId_hyperlink_9" tooltip="https://rotamaguswines.com/product/lafite-rothschild-1953-2/" display="https://rotamaguswines.com/product/lafite-rothschild-1953-2/"/>
    <hyperlink ref="J11" r:id="rId_hyperlink_10" tooltip="https://rotamaguswines.com/product/lafite-rothschild-1972/" display="https://rotamaguswines.com/product/lafite-rothschild-1972/"/>
    <hyperlink ref="J12" r:id="rId_hyperlink_11" tooltip="https://rotamaguswines.com/product/lafite-rothschild-1982/" display="https://rotamaguswines.com/product/lafite-rothschild-1982/"/>
    <hyperlink ref="J13" r:id="rId_hyperlink_12" tooltip="https://rotamaguswines.com/product/latour-1922/" display="https://rotamaguswines.com/product/latour-1922/"/>
    <hyperlink ref="J14" r:id="rId_hyperlink_13" tooltip="https://rotamaguswines.com/product/latour-1947/" display="https://rotamaguswines.com/product/latour-1947/"/>
    <hyperlink ref="J15" r:id="rId_hyperlink_14" tooltip="https://rotamaguswines.com/product/latour-1966/" display="https://rotamaguswines.com/product/latour-1966/"/>
    <hyperlink ref="J16" r:id="rId_hyperlink_15" tooltip="https://rotamaguswines.com/product/latour-1982/" display="https://rotamaguswines.com/product/latour-1982/"/>
    <hyperlink ref="J17" r:id="rId_hyperlink_16" tooltip="https://rotamaguswines.com/product/latour-1988/" display="https://rotamaguswines.com/product/latour-1988/"/>
    <hyperlink ref="J18" r:id="rId_hyperlink_17" tooltip="https://rotamaguswines.com/product/latour-1991/" display="https://rotamaguswines.com/product/latour-1991/"/>
    <hyperlink ref="J19" r:id="rId_hyperlink_18" tooltip="https://rotamaguswines.com/product/latour-1996/" display="https://rotamaguswines.com/product/latour-1996/"/>
    <hyperlink ref="J20" r:id="rId_hyperlink_19" tooltip="https://rotamaguswines.com/product/latour-1997/" display="https://rotamaguswines.com/product/latour-1997/"/>
    <hyperlink ref="J21" r:id="rId_hyperlink_20" tooltip="https://rotamaguswines.com/product/lynch-bages-1953/" display="https://rotamaguswines.com/product/lynch-bages-1953/"/>
    <hyperlink ref="J22" r:id="rId_hyperlink_21" tooltip="https://rotamaguswines.com/product/lynch-bages-1953-2/" display="https://rotamaguswines.com/product/lynch-bages-1953-2/"/>
    <hyperlink ref="J23" r:id="rId_hyperlink_22" tooltip="https://rotamaguswines.com/product/lynch-bages-1953-3/" display="https://rotamaguswines.com/product/lynch-bages-1953-3/"/>
    <hyperlink ref="J24" r:id="rId_hyperlink_23" tooltip="https://rotamaguswines.com/product/lynch-bages-1953-4/" display="https://rotamaguswines.com/product/lynch-bages-1953-4/"/>
    <hyperlink ref="J25" r:id="rId_hyperlink_24" tooltip="https://rotamaguswines.com/product/lynch-bages-1953-5/" display="https://rotamaguswines.com/product/lynch-bages-1953-5/"/>
    <hyperlink ref="J26" r:id="rId_hyperlink_25" tooltip="https://rotamaguswines.com/product/lynch-bages-1953-6/" display="https://rotamaguswines.com/product/lynch-bages-1953-6/"/>
    <hyperlink ref="J27" r:id="rId_hyperlink_26" tooltip="https://rotamaguswines.com/product/mouton-rothschild-1928/" display="https://rotamaguswines.com/product/mouton-rothschild-1928/"/>
    <hyperlink ref="J28" r:id="rId_hyperlink_27" tooltip="https://rotamaguswines.com/product/mouton-rothschild-1934/" display="https://rotamaguswines.com/product/mouton-rothschild-1934/"/>
    <hyperlink ref="J29" r:id="rId_hyperlink_28" tooltip="https://rotamaguswines.com/product/mouton-rothschild-1950/" display="https://rotamaguswines.com/product/mouton-rothschild-1950/"/>
    <hyperlink ref="J30" r:id="rId_hyperlink_29" tooltip="https://rotamaguswines.com/product/mouton-rothschild-1952/" display="https://rotamaguswines.com/product/mouton-rothschild-1952/"/>
    <hyperlink ref="J31" r:id="rId_hyperlink_30" tooltip="https://rotamaguswines.com/product/mouton-rothschild-1952-2/" display="https://rotamaguswines.com/product/mouton-rothschild-1952-2/"/>
    <hyperlink ref="J32" r:id="rId_hyperlink_31" tooltip="https://rotamaguswines.com/product/mouton-rothschild-1957/" display="https://rotamaguswines.com/product/mouton-rothschild-1957/"/>
    <hyperlink ref="J33" r:id="rId_hyperlink_32" tooltip="https://rotamaguswines.com/product/mouton-rothschild-1957-2/" display="https://rotamaguswines.com/product/mouton-rothschild-1957-2/"/>
    <hyperlink ref="J34" r:id="rId_hyperlink_33" tooltip="https://rotamaguswines.com/product/mouton-rothschild-1957-4/" display="https://rotamaguswines.com/product/mouton-rothschild-1957-4/"/>
    <hyperlink ref="J35" r:id="rId_hyperlink_34" tooltip="https://rotamaguswines.com/product/mouton-rothschild-1964/" display="https://rotamaguswines.com/product/mouton-rothschild-1964/"/>
    <hyperlink ref="J36" r:id="rId_hyperlink_35" tooltip="https://rotamaguswines.com/product/mouton-rothschild-1964-2/" display="https://rotamaguswines.com/product/mouton-rothschild-1964-2/"/>
    <hyperlink ref="J37" r:id="rId_hyperlink_36" tooltip="https://rotamaguswines.com/product/mouton-rothschild-1964-3/" display="https://rotamaguswines.com/product/mouton-rothschild-1964-3/"/>
    <hyperlink ref="J38" r:id="rId_hyperlink_37" tooltip="https://rotamaguswines.com/product/mouton-rothschild-1964-4/" display="https://rotamaguswines.com/product/mouton-rothschild-1964-4/"/>
    <hyperlink ref="J39" r:id="rId_hyperlink_38" tooltip="https://rotamaguswines.com/product/mouton-rothschild-1964-5/" display="https://rotamaguswines.com/product/mouton-rothschild-1964-5/"/>
    <hyperlink ref="J40" r:id="rId_hyperlink_39" tooltip="https://rotamaguswines.com/product/mouton-rothschild-1964-6/" display="https://rotamaguswines.com/product/mouton-rothschild-1964-6/"/>
    <hyperlink ref="J41" r:id="rId_hyperlink_40" tooltip="https://rotamaguswines.com/product/mouton-rothschild-1965/" display="https://rotamaguswines.com/product/mouton-rothschild-1965/"/>
    <hyperlink ref="J42" r:id="rId_hyperlink_41" tooltip="https://rotamaguswines.com/product/mouton-rothschild-1965-2/" display="https://rotamaguswines.com/product/mouton-rothschild-1965-2/"/>
    <hyperlink ref="J43" r:id="rId_hyperlink_42" tooltip="https://rotamaguswines.com/product/mouton-rothschild-1965-3/" display="https://rotamaguswines.com/product/mouton-rothschild-1965-3/"/>
    <hyperlink ref="J44" r:id="rId_hyperlink_43" tooltip="https://rotamaguswines.com/product/mouton-rothschild-1965-4/" display="https://rotamaguswines.com/product/mouton-rothschild-1965-4/"/>
    <hyperlink ref="J45" r:id="rId_hyperlink_44" tooltip="https://rotamaguswines.com/product/mouton-rothschild-1965-5/" display="https://rotamaguswines.com/product/mouton-rothschild-1965-5/"/>
    <hyperlink ref="J46" r:id="rId_hyperlink_45" tooltip="https://rotamaguswines.com/product/mouton-rothschild-1966-magnum/" display="https://rotamaguswines.com/product/mouton-rothschild-1966-magnum/"/>
    <hyperlink ref="J47" r:id="rId_hyperlink_46" tooltip="https://rotamaguswines.com/product/mouton-rothschild-1967-3/" display="https://rotamaguswines.com/product/mouton-rothschild-1967-3/"/>
    <hyperlink ref="J48" r:id="rId_hyperlink_47" tooltip="https://rotamaguswines.com/product/mouton-rothschild-1967-2/" display="https://rotamaguswines.com/product/mouton-rothschild-1967-2/"/>
    <hyperlink ref="J49" r:id="rId_hyperlink_48" tooltip="https://rotamaguswines.com/product/mouton-rothschild-1967-magnum/" display="https://rotamaguswines.com/product/mouton-rothschild-1967-magnum/"/>
    <hyperlink ref="J50" r:id="rId_hyperlink_49" tooltip="https://rotamaguswines.com/product/mouton-rothschild-1968/" display="https://rotamaguswines.com/product/mouton-rothschild-1968/"/>
    <hyperlink ref="J51" r:id="rId_hyperlink_50" tooltip="https://rotamaguswines.com/product/mouton-rothschild-1968-2/" display="https://rotamaguswines.com/product/mouton-rothschild-1968-2/"/>
    <hyperlink ref="J52" r:id="rId_hyperlink_51" tooltip="https://rotamaguswines.com/product/mouton-rothschild-1969/" display="https://rotamaguswines.com/product/mouton-rothschild-1969/"/>
    <hyperlink ref="J53" r:id="rId_hyperlink_52" tooltip="https://rotamaguswines.com/product/mouton-rothschild-1969-2/" display="https://rotamaguswines.com/product/mouton-rothschild-1969-2/"/>
    <hyperlink ref="J54" r:id="rId_hyperlink_53" tooltip="https://rotamaguswines.com/product/mouton-rothschild-1969-magnum/" display="https://rotamaguswines.com/product/mouton-rothschild-1969-magnum/"/>
    <hyperlink ref="J55" r:id="rId_hyperlink_54" tooltip="https://rotamaguswines.com/product/mouton-rothschild-1970/" display="https://rotamaguswines.com/product/mouton-rothschild-1970/"/>
    <hyperlink ref="J56" r:id="rId_hyperlink_55" tooltip="https://rotamaguswines.com/product/mouton-rothschild-1971-2/" display="https://rotamaguswines.com/product/mouton-rothschild-1971-2/"/>
    <hyperlink ref="J57" r:id="rId_hyperlink_56" tooltip="https://rotamaguswines.com/product/mouton-rothschild-1971/" display="https://rotamaguswines.com/product/mouton-rothschild-1971/"/>
    <hyperlink ref="J58" r:id="rId_hyperlink_57" tooltip="https://rotamaguswines.com/product/mouton-rothschild-1972/" display="https://rotamaguswines.com/product/mouton-rothschild-1972/"/>
    <hyperlink ref="J59" r:id="rId_hyperlink_58" tooltip="https://rotamaguswines.com/product/mouton-rothschild-1972-2/" display="https://rotamaguswines.com/product/mouton-rothschild-1972-2/"/>
    <hyperlink ref="J60" r:id="rId_hyperlink_59" tooltip="https://rotamaguswines.com/product/mouton-rothschild-1972-3/" display="https://rotamaguswines.com/product/mouton-rothschild-1972-3/"/>
    <hyperlink ref="J61" r:id="rId_hyperlink_60" tooltip="https://rotamaguswines.com/product/mouton-rothschild-1973/" display="https://rotamaguswines.com/product/mouton-rothschild-1973/"/>
    <hyperlink ref="J62" r:id="rId_hyperlink_61" tooltip="https://rotamaguswines.com/product/mouton-rothschild-1978/" display="https://rotamaguswines.com/product/mouton-rothschild-1978/"/>
    <hyperlink ref="J63" r:id="rId_hyperlink_62" tooltip="https://rotamaguswines.com/product/mouton-rothschild-1978-sc/" display="https://rotamaguswines.com/product/mouton-rothschild-1978-sc/"/>
    <hyperlink ref="J64" r:id="rId_hyperlink_63" tooltip="https://rotamaguswines.com/product/mouton-rothschild-1978-sc-2/" display="https://rotamaguswines.com/product/mouton-rothschild-1978-sc-2/"/>
    <hyperlink ref="J65" r:id="rId_hyperlink_64" tooltip="https://rotamaguswines.com/product/mouton-rothschild-1978-sc-3/" display="https://rotamaguswines.com/product/mouton-rothschild-1978-sc-3/"/>
    <hyperlink ref="J66" r:id="rId_hyperlink_65" tooltip="https://rotamaguswines.com/product/mouton-rothschild-1978-sc-9/" display="https://rotamaguswines.com/product/mouton-rothschild-1978-sc-9/"/>
    <hyperlink ref="J67" r:id="rId_hyperlink_66" tooltip="https://rotamaguswines.com/product/mouton-rothschild-1978-sc-4/" display="https://rotamaguswines.com/product/mouton-rothschild-1978-sc-4/"/>
    <hyperlink ref="J68" r:id="rId_hyperlink_67" tooltip="https://rotamaguswines.com/product/mouton-rothschild-1978-sc-5/" display="https://rotamaguswines.com/product/mouton-rothschild-1978-sc-5/"/>
    <hyperlink ref="J69" r:id="rId_hyperlink_68" tooltip="https://rotamaguswines.com/product/mouton-rothschild-1978-sc-6/" display="https://rotamaguswines.com/product/mouton-rothschild-1978-sc-6/"/>
    <hyperlink ref="J70" r:id="rId_hyperlink_69" tooltip="https://rotamaguswines.com/product/mouton-rothschild-1978-sc-7/" display="https://rotamaguswines.com/product/mouton-rothschild-1978-sc-7/"/>
    <hyperlink ref="J71" r:id="rId_hyperlink_70" tooltip="https://rotamaguswines.com/product/mouton-rothschild-1978-sc-8/" display="https://rotamaguswines.com/product/mouton-rothschild-1978-sc-8/"/>
    <hyperlink ref="J72" r:id="rId_hyperlink_71" tooltip="https://rotamaguswines.com/product/mouton-rothschild-1982-magnum/" display="https://rotamaguswines.com/product/mouton-rothschild-1982-magnum/"/>
    <hyperlink ref="J73" r:id="rId_hyperlink_72" tooltip="https://rotamaguswines.com/product/mouton-rothschild-1984/" display="https://rotamaguswines.com/product/mouton-rothschild-1984/"/>
    <hyperlink ref="J74" r:id="rId_hyperlink_73" tooltip="https://rotamaguswines.com/product/mouton-rothschild-1986/" display="https://rotamaguswines.com/product/mouton-rothschild-1986/"/>
    <hyperlink ref="J75" r:id="rId_hyperlink_74" tooltip="https://rotamaguswines.com/product/mouton-rothschild-1986-magnum/" display="https://rotamaguswines.com/product/mouton-rothschild-1986-magnum/"/>
    <hyperlink ref="J76" r:id="rId_hyperlink_75" tooltip="https://rotamaguswines.com/product/mouton-rothschild-1987/" display="https://rotamaguswines.com/product/mouton-rothschild-1987/"/>
    <hyperlink ref="J77" r:id="rId_hyperlink_76" tooltip="https://rotamaguswines.com/product/mouton-rothschild-1987-2/" display="https://rotamaguswines.com/product/mouton-rothschild-1987-2/"/>
    <hyperlink ref="J78" r:id="rId_hyperlink_77" tooltip="https://rotamaguswines.com/product/mouton-rothschild-1988/" display="https://rotamaguswines.com/product/mouton-rothschild-1988/"/>
    <hyperlink ref="J79" r:id="rId_hyperlink_78" tooltip="https://rotamaguswines.com/product/mouton-rothschild-1988-2/" display="https://rotamaguswines.com/product/mouton-rothschild-1988-2/"/>
    <hyperlink ref="J80" r:id="rId_hyperlink_79" tooltip="https://rotamaguswines.com/product/mouton-rothschild-1992/" display="https://rotamaguswines.com/product/mouton-rothschild-1992/"/>
    <hyperlink ref="J81" r:id="rId_hyperlink_80" tooltip="https://rotamaguswines.com/product/mouton-rothschild-1992-magnum/" display="https://rotamaguswines.com/product/mouton-rothschild-1992-magnum/"/>
    <hyperlink ref="J82" r:id="rId_hyperlink_81" tooltip="https://rotamaguswines.com/product/mouton-rothschild-1993/" display="https://rotamaguswines.com/product/mouton-rothschild-1993/"/>
    <hyperlink ref="J83" r:id="rId_hyperlink_82" tooltip="https://rotamaguswines.com/product/mouton-rothschild-1993-magnum/" display="https://rotamaguswines.com/product/mouton-rothschild-1993-magnum/"/>
    <hyperlink ref="J84" r:id="rId_hyperlink_83" tooltip="https://rotamaguswines.com/product/mouton-rothschild-1994/" display="https://rotamaguswines.com/product/mouton-rothschild-1994/"/>
    <hyperlink ref="J85" r:id="rId_hyperlink_84" tooltip="https://rotamaguswines.com/product/mouton-rothschild-1994-2/" display="https://rotamaguswines.com/product/mouton-rothschild-1994-2/"/>
    <hyperlink ref="J86" r:id="rId_hyperlink_85" tooltip="https://rotamaguswines.com/product/mouton-rothschild-1994-3/" display="https://rotamaguswines.com/product/mouton-rothschild-1994-3/"/>
    <hyperlink ref="J87" r:id="rId_hyperlink_86" tooltip="https://rotamaguswines.com/product/mouton-rothschild-1994-magnum/" display="https://rotamaguswines.com/product/mouton-rothschild-1994-magnum/"/>
    <hyperlink ref="J88" r:id="rId_hyperlink_87" tooltip="https://rotamaguswines.com/product/mouton-rothschild-1997/" display="https://rotamaguswines.com/product/mouton-rothschild-1997/"/>
    <hyperlink ref="J89" r:id="rId_hyperlink_88" tooltip="https://rotamaguswines.com/product/mouton-rothschild-1997-2/" display="https://rotamaguswines.com/product/mouton-rothschild-1997-2/"/>
    <hyperlink ref="J90" r:id="rId_hyperlink_89" tooltip="https://rotamaguswines.com/product/mouton-rothschild-1998/" display="https://rotamaguswines.com/product/mouton-rothschild-1998/"/>
    <hyperlink ref="J91" r:id="rId_hyperlink_90" tooltip="https://rotamaguswines.com/product/mouton-rothschild-1999/" display="https://rotamaguswines.com/product/mouton-rothschild-1999/"/>
    <hyperlink ref="J92" r:id="rId_hyperlink_91" tooltip="https://rotamaguswines.com/product/mouton-rothschild-1999-2/" display="https://rotamaguswines.com/product/mouton-rothschild-1999-2/"/>
    <hyperlink ref="J93" r:id="rId_hyperlink_92" tooltip="https://rotamaguswines.com/product/mouton-rothschild-1999-magnum/" display="https://rotamaguswines.com/product/mouton-rothschild-1999-magnum/"/>
    <hyperlink ref="J94" r:id="rId_hyperlink_93" tooltip="https://rotamaguswines.com/product/mouton-rothschild-2000-magnum/" display="https://rotamaguswines.com/product/mouton-rothschild-2000-magnum/"/>
    <hyperlink ref="J95" r:id="rId_hyperlink_94" tooltip="https://rotamaguswines.com/product/mouton-rothschild-2002-magnum/" display="https://rotamaguswines.com/product/mouton-rothschild-2002-magnum/"/>
    <hyperlink ref="J96" r:id="rId_hyperlink_95" tooltip="https://rotamaguswines.com/product/mouton-rothschild-2003/" display="https://rotamaguswines.com/product/mouton-rothschild-2003/"/>
    <hyperlink ref="J97" r:id="rId_hyperlink_96" tooltip="https://rotamaguswines.com/product/pichon-lalande-1928/" display="https://rotamaguswines.com/product/pichon-lalande-1928/"/>
    <hyperlink ref="J98" r:id="rId_hyperlink_97" tooltip="https://rotamaguswines.com/product/pichon-lalande-1945/" display="https://rotamaguswines.com/product/pichon-lalande-1945/"/>
    <hyperlink ref="J99" r:id="rId_hyperlink_98" tooltip="https://rotamaguswines.com/product/haut-brion-1978-blanc/" display="https://rotamaguswines.com/product/haut-brion-1978-blanc/"/>
    <hyperlink ref="J100" r:id="rId_hyperlink_99" tooltip="https://rotamaguswines.com/product/haut-brion-1945/" display="https://rotamaguswines.com/product/haut-brion-1945/"/>
    <hyperlink ref="J101" r:id="rId_hyperlink_100" tooltip="https://rotamaguswines.com/product/haut-brion-1953/" display="https://rotamaguswines.com/product/haut-brion-1953/"/>
    <hyperlink ref="J102" r:id="rId_hyperlink_101" tooltip="https://rotamaguswines.com/product/haut-brion-1953-2/" display="https://rotamaguswines.com/product/haut-brion-1953-2/"/>
    <hyperlink ref="J103" r:id="rId_hyperlink_102" tooltip="https://rotamaguswines.com/product/haut-brion-1953-3/" display="https://rotamaguswines.com/product/haut-brion-1953-3/"/>
    <hyperlink ref="J104" r:id="rId_hyperlink_103" tooltip="https://rotamaguswines.com/product/haut-brion-1953-4/" display="https://rotamaguswines.com/product/haut-brion-1953-4/"/>
    <hyperlink ref="J105" r:id="rId_hyperlink_104" tooltip="https://rotamaguswines.com/product/haut-brion-1955/" display="https://rotamaguswines.com/product/haut-brion-1955/"/>
    <hyperlink ref="J106" r:id="rId_hyperlink_105" tooltip="https://rotamaguswines.com/product/malartic-la-graviere-1937-magnum/" display="https://rotamaguswines.com/product/malartic-la-graviere-1937-magnum/"/>
    <hyperlink ref="J107" r:id="rId_hyperlink_106" tooltip="https://rotamaguswines.com/product/mission-haut-brion-1914/" display="https://rotamaguswines.com/product/mission-haut-brion-1914/"/>
    <hyperlink ref="J108" r:id="rId_hyperlink_107" tooltip="https://rotamaguswines.com/product/mission-haut-brion-1928/" display="https://rotamaguswines.com/product/mission-haut-brion-1928/"/>
    <hyperlink ref="J109" r:id="rId_hyperlink_108" tooltip="https://rotamaguswines.com/product/mission-haut-brion-1929/" display="https://rotamaguswines.com/product/mission-haut-brion-1929/"/>
    <hyperlink ref="J110" r:id="rId_hyperlink_109" tooltip="https://rotamaguswines.com/product/mission-haut-brion-1929-2/" display="https://rotamaguswines.com/product/mission-haut-brion-1929-2/"/>
    <hyperlink ref="J111" r:id="rId_hyperlink_110" tooltip="https://rotamaguswines.com/product/mission-haut-brion-1937/" display="https://rotamaguswines.com/product/mission-haut-brion-1937/"/>
    <hyperlink ref="J112" r:id="rId_hyperlink_111" tooltip="https://rotamaguswines.com/product/mission-haut-brion-1937-2/" display="https://rotamaguswines.com/product/mission-haut-brion-1937-2/"/>
    <hyperlink ref="J113" r:id="rId_hyperlink_112" tooltip="https://rotamaguswines.com/product/mission-haut-brion-1939/" display="https://rotamaguswines.com/product/mission-haut-brion-1939/"/>
    <hyperlink ref="J114" r:id="rId_hyperlink_113" tooltip="https://rotamaguswines.com/product/mission-haut-brion-1941/" display="https://rotamaguswines.com/product/mission-haut-brion-1941/"/>
    <hyperlink ref="J115" r:id="rId_hyperlink_114" tooltip="https://rotamaguswines.com/product/mission-haut-brion-1944/" display="https://rotamaguswines.com/product/mission-haut-brion-1944/"/>
    <hyperlink ref="J116" r:id="rId_hyperlink_115" tooltip="https://rotamaguswines.com/product/mission-haut-brion-1952/" display="https://rotamaguswines.com/product/mission-haut-brion-1952/"/>
    <hyperlink ref="J117" r:id="rId_hyperlink_116" tooltip="https://rotamaguswines.com/product/mission-haut-brion-1952-2/" display="https://rotamaguswines.com/product/mission-haut-brion-1952-2/"/>
    <hyperlink ref="J118" r:id="rId_hyperlink_117" tooltip="https://rotamaguswines.com/product/mission-haut-brion-1952-3/" display="https://rotamaguswines.com/product/mission-haut-brion-1952-3/"/>
    <hyperlink ref="J119" r:id="rId_hyperlink_118" tooltip="https://rotamaguswines.com/product/mission-haut-brion-1952-4/" display="https://rotamaguswines.com/product/mission-haut-brion-1952-4/"/>
    <hyperlink ref="J120" r:id="rId_hyperlink_119" tooltip="https://rotamaguswines.com/product/mission-haut-brion-1952-magnum/" display="https://rotamaguswines.com/product/mission-haut-brion-1952-magnum/"/>
    <hyperlink ref="J121" r:id="rId_hyperlink_120" tooltip="https://rotamaguswines.com/product/mission-haut-brion-1953/" display="https://rotamaguswines.com/product/mission-haut-brion-1953/"/>
    <hyperlink ref="J122" r:id="rId_hyperlink_121" tooltip="https://rotamaguswines.com/product/mission-haut-brion-1953-2/" display="https://rotamaguswines.com/product/mission-haut-brion-1953-2/"/>
    <hyperlink ref="J123" r:id="rId_hyperlink_122" tooltip="https://rotamaguswines.com/product/mission-haut-brion-1955/" display="https://rotamaguswines.com/product/mission-haut-brion-1955/"/>
    <hyperlink ref="J124" r:id="rId_hyperlink_123" tooltip="https://rotamaguswines.com/product/mission-haut-brion-1955-2/" display="https://rotamaguswines.com/product/mission-haut-brion-1955-2/"/>
    <hyperlink ref="J125" r:id="rId_hyperlink_124" tooltip="https://rotamaguswines.com/product/mouton-rothschild-1963-magnum/" display="https://rotamaguswines.com/product/mouton-rothschild-1963-magnum/"/>
    <hyperlink ref="J126" r:id="rId_hyperlink_125" tooltip="https://rotamaguswines.com/product/pape-clement-1949/" display="https://rotamaguswines.com/product/pape-clement-1949/"/>
    <hyperlink ref="J127" r:id="rId_hyperlink_126" tooltip="https://rotamaguswines.com/product/trotanoy-1945/" display="https://rotamaguswines.com/product/trotanoy-1945/"/>
    <hyperlink ref="J128" r:id="rId_hyperlink_127" tooltip="https://rotamaguswines.com/product/vieux-chateau-certan-1945/" display="https://rotamaguswines.com/product/vieux-chateau-certan-1945/"/>
    <hyperlink ref="J129" r:id="rId_hyperlink_128" tooltip="https://rotamaguswines.com/product/vieux-chateau-certan-1947/" display="https://rotamaguswines.com/product/vieux-chateau-certan-1947/"/>
    <hyperlink ref="J130" r:id="rId_hyperlink_129" tooltip="https://rotamaguswines.com/product/vieux-chateau-certan-1947-2/" display="https://rotamaguswines.com/product/vieux-chateau-certan-1947-2/"/>
    <hyperlink ref="J131" r:id="rId_hyperlink_130" tooltip="https://rotamaguswines.com/product/vieux-chateau-certan-1953/" display="https://rotamaguswines.com/product/vieux-chateau-certan-1953/"/>
    <hyperlink ref="J132" r:id="rId_hyperlink_131" tooltip="https://rotamaguswines.com/product/vieux-chateau-certan-1959/" display="https://rotamaguswines.com/product/vieux-chateau-certan-1959/"/>
    <hyperlink ref="J133" r:id="rId_hyperlink_132" tooltip="https://rotamaguswines.com/product/vieux-chateau-certan-1959-2/" display="https://rotamaguswines.com/product/vieux-chateau-certan-1959-2/"/>
    <hyperlink ref="J134" r:id="rId_hyperlink_133" tooltip="https://rotamaguswines.com/product/vieux-chateau-certan-1959-magnum/" display="https://rotamaguswines.com/product/vieux-chateau-certan-1959-magnum/"/>
    <hyperlink ref="J135" r:id="rId_hyperlink_134" tooltip="https://rotamaguswines.com/product/vieux-chateau-certan-1962-magnum/" display="https://rotamaguswines.com/product/vieux-chateau-certan-1962-magnum/"/>
    <hyperlink ref="J136" r:id="rId_hyperlink_135" tooltip="https://rotamaguswines.com/product/ausone-1950/" display="https://rotamaguswines.com/product/ausone-1950/"/>
    <hyperlink ref="J137" r:id="rId_hyperlink_136" tooltip="https://rotamaguswines.com/product/ausone-1950-2/" display="https://rotamaguswines.com/product/ausone-1950-2/"/>
    <hyperlink ref="J138" r:id="rId_hyperlink_137" tooltip="https://rotamaguswines.com/product/ausone-1961/" display="https://rotamaguswines.com/product/ausone-1961/"/>
    <hyperlink ref="J139" r:id="rId_hyperlink_138" tooltip="https://rotamaguswines.com/product/cheval-blanc-1953/" display="https://rotamaguswines.com/product/cheval-blanc-1953/"/>
    <hyperlink ref="J140" r:id="rId_hyperlink_139" tooltip="https://rotamaguswines.com/product/cheval-blanc-1962-magnum/" display="https://rotamaguswines.com/product/cheval-blanc-1962-magnum/"/>
    <hyperlink ref="J141" r:id="rId_hyperlink_140" tooltip="https://rotamaguswines.com/product/cos-destournel-1918/" display="https://rotamaguswines.com/product/cos-destournel-1918/"/>
    <hyperlink ref="J142" r:id="rId_hyperlink_141" tooltip="https://rotamaguswines.com/product/cos-destournel-1918-2/" display="https://rotamaguswines.com/product/cos-destournel-1918-2/"/>
    <hyperlink ref="J143" r:id="rId_hyperlink_142" tooltip="https://rotamaguswines.com/product/cos-destournel-1918-3/" display="https://rotamaguswines.com/product/cos-destournel-1918-3/"/>
    <hyperlink ref="J144" r:id="rId_hyperlink_143" tooltip="https://rotamaguswines.com/product/cos-destournel-1918-4/" display="https://rotamaguswines.com/product/cos-destournel-1918-4/"/>
    <hyperlink ref="J145" r:id="rId_hyperlink_144" tooltip="https://rotamaguswines.com/product/cos-destournel-1918-5/" display="https://rotamaguswines.com/product/cos-destournel-1918-5/"/>
    <hyperlink ref="J146" r:id="rId_hyperlink_145" tooltip="https://rotamaguswines.com/product/cos-destournel-1918-6/" display="https://rotamaguswines.com/product/cos-destournel-1918-6/"/>
    <hyperlink ref="J147" r:id="rId_hyperlink_146" tooltip="https://rotamaguswines.com/product/6-bottles-gruaud-larose-1949/" display="https://rotamaguswines.com/product/6-bottles-gruaud-larose-1949/"/>
    <hyperlink ref="J148" r:id="rId_hyperlink_147" tooltip="https://rotamaguswines.com/product/gruaud-larose-1929/" display="https://rotamaguswines.com/product/gruaud-larose-1929/"/>
    <hyperlink ref="J149" r:id="rId_hyperlink_148" tooltip="https://rotamaguswines.com/product/gruaud-larose-1934/" display="https://rotamaguswines.com/product/gruaud-larose-1934/"/>
    <hyperlink ref="J150" r:id="rId_hyperlink_149" tooltip="https://rotamaguswines.com/product/gruaud-larose-1950/" display="https://rotamaguswines.com/product/gruaud-larose-1950/"/>
    <hyperlink ref="J151" r:id="rId_hyperlink_150" tooltip="https://rotamaguswines.com/product/gruaud-larose-1953/" display="https://rotamaguswines.com/product/gruaud-larose-1953/"/>
    <hyperlink ref="J152" r:id="rId_hyperlink_151" tooltip="https://rotamaguswines.com/product/gruaud-larose-1961/" display="https://rotamaguswines.com/product/gruaud-larose-1961/"/>
    <hyperlink ref="J153" r:id="rId_hyperlink_152" tooltip="https://rotamaguswines.com/product/leoville-las-cases-1961/" display="https://rotamaguswines.com/product/leoville-las-cases-1961/"/>
    <hyperlink ref="J154" r:id="rId_hyperlink_153" tooltip="https://rotamaguswines.com/product/leoville-las-cases-1961-2/" display="https://rotamaguswines.com/product/leoville-las-cases-1961-2/"/>
    <hyperlink ref="J155" r:id="rId_hyperlink_154" tooltip="https://rotamaguswines.com/product/bonnes-mares-faiveley-1966/" display="https://rotamaguswines.com/product/bonnes-mares-faiveley-1966/"/>
    <hyperlink ref="J156" r:id="rId_hyperlink_155" tooltip="https://rotamaguswines.com/product/bonnes-mares-vieilles-vignes-roumier-1988/" display="https://rotamaguswines.com/product/bonnes-mares-vieilles-vignes-roumier-1988/"/>
    <hyperlink ref="J157" r:id="rId_hyperlink_156" tooltip="https://rotamaguswines.com/product/chambertin-rousseau-1980/" display="https://rotamaguswines.com/product/chambertin-rousseau-1980/"/>
    <hyperlink ref="J158" r:id="rId_hyperlink_157" tooltip="https://rotamaguswines.com/product/clos-de-la-roche-rousseau-1980/" display="https://rotamaguswines.com/product/clos-de-la-roche-rousseau-1980/"/>
    <hyperlink ref="J159" r:id="rId_hyperlink_158" tooltip="https://rotamaguswines.com/product/echezeaux-leroy-1969/" display="https://rotamaguswines.com/product/echezeaux-leroy-1969/"/>
    <hyperlink ref="J160" r:id="rId_hyperlink_159" tooltip="https://rotamaguswines.com/product/musigny-vv-de-vogue-1966/" display="https://rotamaguswines.com/product/musigny-vv-de-vogue-1966/"/>
    <hyperlink ref="J161" r:id="rId_hyperlink_160" tooltip="https://rotamaguswines.com/product/drc-richebourg-1966/" display="https://rotamaguswines.com/product/drc-richebourg-1966/"/>
    <hyperlink ref="J162" r:id="rId_hyperlink_161" tooltip="https://rotamaguswines.com/product/ruchottes-chambertin-rousseau-1980/" display="https://rotamaguswines.com/product/ruchottes-chambertin-rousseau-1980/"/>
    <hyperlink ref="J163" r:id="rId_hyperlink_162" tooltip="https://rotamaguswines.com/product/ruchottes-chambertin-rousseau-1980-2/" display="https://rotamaguswines.com/product/ruchottes-chambertin-rousseau-1980-2/"/>
    <hyperlink ref="J164" r:id="rId_hyperlink_163" tooltip="https://rotamaguswines.com/product/volnay-clos-des-ducs-marquis-dangerville-1999/" display="https://rotamaguswines.com/product/volnay-clos-des-ducs-marquis-dangerville-1999/"/>
    <hyperlink ref="J165" r:id="rId_hyperlink_164" tooltip="https://rotamaguswines.com/product/volnay-clos-des-ducs-marquis-dangerville-1999-2/" display="https://rotamaguswines.com/product/volnay-clos-des-ducs-marquis-dangerville-1999-2/"/>
    <hyperlink ref="J166" r:id="rId_hyperlink_165" tooltip="https://rotamaguswines.com/product/vosne-romanee-clos-du-chateau-2006-domaine-du-comte-liger-belair/" display="https://rotamaguswines.com/product/vosne-romanee-clos-du-chateau-2006-domaine-du-comte-liger-belair/"/>
    <hyperlink ref="J167" r:id="rId_hyperlink_166" tooltip="https://rotamaguswines.com/product/vosne-romanee-clos-du-chateau-2006-domaine-du-comte-liger-belair-2/" display="https://rotamaguswines.com/product/vosne-romanee-clos-du-chateau-2006-domaine-du-comte-liger-belair-2/"/>
    <hyperlink ref="J168" r:id="rId_hyperlink_167" tooltip="https://rotamaguswines.com/product/vosne-romanee-clos-du-chateau-2006-domaine-du-comte-liger-belair-3/" display="https://rotamaguswines.com/product/vosne-romanee-clos-du-chateau-2006-domaine-du-comte-liger-belair-3/"/>
    <hyperlink ref="J169" r:id="rId_hyperlink_168" tooltip="https://rotamaguswines.com/product/vosne-romanee-clos-du-chateau-2006-domaine-du-comte-liger-belair-4/" display="https://rotamaguswines.com/product/vosne-romanee-clos-du-chateau-2006-domaine-du-comte-liger-belair-4/"/>
    <hyperlink ref="J170" r:id="rId_hyperlink_169" tooltip="https://rotamaguswines.com/product/vosne-romanee-la-colombiere-2006-domaine-du-comte-liger-belair/" display="https://rotamaguswines.com/product/vosne-romanee-la-colombiere-2006-domaine-du-comte-liger-belair/"/>
    <hyperlink ref="J171" r:id="rId_hyperlink_170" tooltip="https://rotamaguswines.com/product/vosne-romanee-la-colombiere-2006-domaine-du-comte-liger-belair-2/" display="https://rotamaguswines.com/product/vosne-romanee-la-colombiere-2006-domaine-du-comte-liger-belair-2/"/>
    <hyperlink ref="J172" r:id="rId_hyperlink_171" tooltip="https://rotamaguswines.com/product/vosne-romanee-la-colombiere-2006-domaine-du-comte-liger-belair-3/" display="https://rotamaguswines.com/product/vosne-romanee-la-colombiere-2006-domaine-du-comte-liger-belair-3/"/>
    <hyperlink ref="J173" r:id="rId_hyperlink_172" tooltip="https://rotamaguswines.com/product/vosne-romanee-la-colombiere-2006-domaine-du-comte-liger-belair-4/" display="https://rotamaguswines.com/product/vosne-romanee-la-colombiere-2006-domaine-du-comte-liger-belair-4/"/>
    <hyperlink ref="J174" r:id="rId_hyperlink_173" tooltip="https://rotamaguswines.com/product/cristal-roederer-1962/" display="https://rotamaguswines.com/product/cristal-roederer-1962/"/>
    <hyperlink ref="J175" r:id="rId_hyperlink_174" tooltip="https://rotamaguswines.com/product/cristal-roederer-1966-magnum/" display="https://rotamaguswines.com/product/cristal-roederer-1966-magnum/"/>
    <hyperlink ref="J176" r:id="rId_hyperlink_175" tooltip="https://rotamaguswines.com/product/cristal-roederer-1970/" display="https://rotamaguswines.com/product/cristal-roederer-1970/"/>
    <hyperlink ref="J177" r:id="rId_hyperlink_176" tooltip="https://rotamaguswines.com/product/cristal-roederer-1973-magnum/" display="https://rotamaguswines.com/product/cristal-roederer-1973-magnum/"/>
    <hyperlink ref="J178" r:id="rId_hyperlink_177" tooltip="https://rotamaguswines.com/product/cristal-roederer-1973-magnum-2/" display="https://rotamaguswines.com/product/cristal-roederer-1973-magnum-2/"/>
    <hyperlink ref="J179" r:id="rId_hyperlink_178" tooltip="https://rotamaguswines.com/product/cristal-roederer-1977/" display="https://rotamaguswines.com/product/cristal-roederer-1977/"/>
    <hyperlink ref="J180" r:id="rId_hyperlink_179" tooltip="https://rotamaguswines.com/product/dom-perignon-1959/" display="https://rotamaguswines.com/product/dom-perignon-1959/"/>
    <hyperlink ref="J181" r:id="rId_hyperlink_180" tooltip="https://rotamaguswines.com/product/dom-perignon-1959-2/" display="https://rotamaguswines.com/product/dom-perignon-1959-2/"/>
    <hyperlink ref="J182" r:id="rId_hyperlink_181" tooltip="https://rotamaguswines.com/product/dom-perignon-1964/" display="https://rotamaguswines.com/product/dom-perignon-1964/"/>
    <hyperlink ref="J183" r:id="rId_hyperlink_182" tooltip="https://rotamaguswines.com/product/dom-perignon-1964-2/" display="https://rotamaguswines.com/product/dom-perignon-1964-2/"/>
    <hyperlink ref="J184" r:id="rId_hyperlink_183" tooltip="https://rotamaguswines.com/product/dom-perignon-1964-3/" display="https://rotamaguswines.com/product/dom-perignon-1964-3/"/>
    <hyperlink ref="J185" r:id="rId_hyperlink_184" tooltip="https://rotamaguswines.com/product/dom-perignon-1964-4/" display="https://rotamaguswines.com/product/dom-perignon-1964-4/"/>
    <hyperlink ref="J186" r:id="rId_hyperlink_185" tooltip="https://rotamaguswines.com/product/dom-perignon-1964-6/" display="https://rotamaguswines.com/product/dom-perignon-1964-6/"/>
    <hyperlink ref="J187" r:id="rId_hyperlink_186" tooltip="https://rotamaguswines.com/product/dom-perignon-1964-7/" display="https://rotamaguswines.com/product/dom-perignon-1964-7/"/>
    <hyperlink ref="J188" r:id="rId_hyperlink_187" tooltip="https://rotamaguswines.com/product/dom-perignon-1964-8/" display="https://rotamaguswines.com/product/dom-perignon-1964-8/"/>
    <hyperlink ref="J189" r:id="rId_hyperlink_188" tooltip="https://rotamaguswines.com/product/dom-perignon-1964-9/" display="https://rotamaguswines.com/product/dom-perignon-1964-9/"/>
    <hyperlink ref="J190" r:id="rId_hyperlink_189" tooltip="https://rotamaguswines.com/product/dom-perignon-1964-10/" display="https://rotamaguswines.com/product/dom-perignon-1964-10/"/>
    <hyperlink ref="J191" r:id="rId_hyperlink_190" tooltip="https://rotamaguswines.com/product/dom-perignon-1964-11/" display="https://rotamaguswines.com/product/dom-perignon-1964-11/"/>
    <hyperlink ref="J192" r:id="rId_hyperlink_191" tooltip="https://rotamaguswines.com/product/dom-perignon-1964-12/" display="https://rotamaguswines.com/product/dom-perignon-1964-12/"/>
    <hyperlink ref="J193" r:id="rId_hyperlink_192" tooltip="https://rotamaguswines.com/product/dom-perignon-1964-13/" display="https://rotamaguswines.com/product/dom-perignon-1964-13/"/>
    <hyperlink ref="J194" r:id="rId_hyperlink_193" tooltip="https://rotamaguswines.com/product/dom-perignon-1964-magnum/" display="https://rotamaguswines.com/product/dom-perignon-1964-magnum/"/>
    <hyperlink ref="J195" r:id="rId_hyperlink_194" tooltip="https://rotamaguswines.com/product/dom-perignon-1966/" display="https://rotamaguswines.com/product/dom-perignon-1966/"/>
    <hyperlink ref="J196" r:id="rId_hyperlink_195" tooltip="https://rotamaguswines.com/product/dom-perignon-1966-2/" display="https://rotamaguswines.com/product/dom-perignon-1966-2/"/>
    <hyperlink ref="J197" r:id="rId_hyperlink_196" tooltip="https://rotamaguswines.com/product/dom-perignon-1966-3/" display="https://rotamaguswines.com/product/dom-perignon-1966-3/"/>
    <hyperlink ref="J198" r:id="rId_hyperlink_197" tooltip="https://rotamaguswines.com/product/dom-perignon-1966-4/" display="https://rotamaguswines.com/product/dom-perignon-1966-4/"/>
    <hyperlink ref="J199" r:id="rId_hyperlink_198" tooltip="https://rotamaguswines.com/product/dom-perignon-1966-5/" display="https://rotamaguswines.com/product/dom-perignon-1966-5/"/>
    <hyperlink ref="J200" r:id="rId_hyperlink_199" tooltip="https://rotamaguswines.com/product/dom-perignon-1969-2/" display="https://rotamaguswines.com/product/dom-perignon-1969-2/"/>
    <hyperlink ref="J201" r:id="rId_hyperlink_200" tooltip="https://rotamaguswines.com/product/dom-perignon-1969-3/" display="https://rotamaguswines.com/product/dom-perignon-1969-3/"/>
    <hyperlink ref="J202" r:id="rId_hyperlink_201" tooltip="https://rotamaguswines.com/product/dom-perignon-1969-4/" display="https://rotamaguswines.com/product/dom-perignon-1969-4/"/>
    <hyperlink ref="J203" r:id="rId_hyperlink_202" tooltip="https://rotamaguswines.com/product/dom-perignon-1969-6/" display="https://rotamaguswines.com/product/dom-perignon-1969-6/"/>
    <hyperlink ref="J204" r:id="rId_hyperlink_203" tooltip="https://rotamaguswines.com/product/dom-perignon-1969-7/" display="https://rotamaguswines.com/product/dom-perignon-1969-7/"/>
    <hyperlink ref="J205" r:id="rId_hyperlink_204" tooltip="https://rotamaguswines.com/product/dom-perignon-1969-8/" display="https://rotamaguswines.com/product/dom-perignon-1969-8/"/>
    <hyperlink ref="J206" r:id="rId_hyperlink_205" tooltip="https://rotamaguswines.com/product/dom-perignon-1969-9/" display="https://rotamaguswines.com/product/dom-perignon-1969-9/"/>
    <hyperlink ref="J207" r:id="rId_hyperlink_206" tooltip="https://rotamaguswines.com/product/dom-perignon-1969-10/" display="https://rotamaguswines.com/product/dom-perignon-1969-10/"/>
    <hyperlink ref="J208" r:id="rId_hyperlink_207" tooltip="https://rotamaguswines.com/product/dom-perignon-1970/" display="https://rotamaguswines.com/product/dom-perignon-1970/"/>
    <hyperlink ref="J209" r:id="rId_hyperlink_208" tooltip="https://rotamaguswines.com/product/dom-perignon-1970-2/" display="https://rotamaguswines.com/product/dom-perignon-1970-2/"/>
    <hyperlink ref="J210" r:id="rId_hyperlink_209" tooltip="https://rotamaguswines.com/product/dom-perignon-1970-3/" display="https://rotamaguswines.com/product/dom-perignon-1970-3/"/>
    <hyperlink ref="J211" r:id="rId_hyperlink_210" tooltip="https://rotamaguswines.com/product/dom-perignon-1970-4/" display="https://rotamaguswines.com/product/dom-perignon-1970-4/"/>
    <hyperlink ref="J212" r:id="rId_hyperlink_211" tooltip="https://rotamaguswines.com/product/dom-perignon-1970-5/" display="https://rotamaguswines.com/product/dom-perignon-1970-5/"/>
    <hyperlink ref="J213" r:id="rId_hyperlink_212" tooltip="https://rotamaguswines.com/product/dom-perignon-1970-6/" display="https://rotamaguswines.com/product/dom-perignon-1970-6/"/>
    <hyperlink ref="J214" r:id="rId_hyperlink_213" tooltip="https://rotamaguswines.com/product/dom-perignon-1970-7/" display="https://rotamaguswines.com/product/dom-perignon-1970-7/"/>
    <hyperlink ref="J215" r:id="rId_hyperlink_214" tooltip="https://rotamaguswines.com/product/dom-perignon-1970-8/" display="https://rotamaguswines.com/product/dom-perignon-1970-8/"/>
    <hyperlink ref="J216" r:id="rId_hyperlink_215" tooltip="https://rotamaguswines.com/product/dom-perignon-1971/" display="https://rotamaguswines.com/product/dom-perignon-1971/"/>
    <hyperlink ref="J217" r:id="rId_hyperlink_216" tooltip="https://rotamaguswines.com/product/dom-perignon-1971-2/" display="https://rotamaguswines.com/product/dom-perignon-1971-2/"/>
    <hyperlink ref="J218" r:id="rId_hyperlink_217" tooltip="https://rotamaguswines.com/product/dom-perignon-1971-3/" display="https://rotamaguswines.com/product/dom-perignon-1971-3/"/>
    <hyperlink ref="J219" r:id="rId_hyperlink_218" tooltip="https://rotamaguswines.com/product/dom-perignon-1971-4/" display="https://rotamaguswines.com/product/dom-perignon-1971-4/"/>
    <hyperlink ref="J220" r:id="rId_hyperlink_219" tooltip="https://rotamaguswines.com/product/dom-perignon-1971-5/" display="https://rotamaguswines.com/product/dom-perignon-1971-5/"/>
    <hyperlink ref="J221" r:id="rId_hyperlink_220" tooltip="https://rotamaguswines.com/product/dom-perignon-1971-6/" display="https://rotamaguswines.com/product/dom-perignon-1971-6/"/>
    <hyperlink ref="J222" r:id="rId_hyperlink_221" tooltip="https://rotamaguswines.com/product/dom-perignon-1971-7/" display="https://rotamaguswines.com/product/dom-perignon-1971-7/"/>
    <hyperlink ref="J223" r:id="rId_hyperlink_222" tooltip="https://rotamaguswines.com/product/dom-perignon-1971-8/" display="https://rotamaguswines.com/product/dom-perignon-1971-8/"/>
    <hyperlink ref="J224" r:id="rId_hyperlink_223" tooltip="https://rotamaguswines.com/product/dom-perignon-1971-9/" display="https://rotamaguswines.com/product/dom-perignon-1971-9/"/>
    <hyperlink ref="J225" r:id="rId_hyperlink_224" tooltip="https://rotamaguswines.com/product/dom-perignon-1971-10/" display="https://rotamaguswines.com/product/dom-perignon-1971-10/"/>
    <hyperlink ref="J226" r:id="rId_hyperlink_225" tooltip="https://rotamaguswines.com/product/dom-perignon-1973/" display="https://rotamaguswines.com/product/dom-perignon-1973/"/>
    <hyperlink ref="J227" r:id="rId_hyperlink_226" tooltip="https://rotamaguswines.com/product/dom-perignon-1973-2/" display="https://rotamaguswines.com/product/dom-perignon-1973-2/"/>
    <hyperlink ref="J228" r:id="rId_hyperlink_227" tooltip="https://rotamaguswines.com/product/dom-perignon-1973-3/" display="https://rotamaguswines.com/product/dom-perignon-1973-3/"/>
    <hyperlink ref="J229" r:id="rId_hyperlink_228" tooltip="https://rotamaguswines.com/product/dom-perignon-1973-4/" display="https://rotamaguswines.com/product/dom-perignon-1973-4/"/>
    <hyperlink ref="J230" r:id="rId_hyperlink_229" tooltip="https://rotamaguswines.com/product/dom-perignon-1973-5/" display="https://rotamaguswines.com/product/dom-perignon-1973-5/"/>
    <hyperlink ref="J231" r:id="rId_hyperlink_230" tooltip="https://rotamaguswines.com/product/dom-perignon-1973-6/" display="https://rotamaguswines.com/product/dom-perignon-1973-6/"/>
    <hyperlink ref="J232" r:id="rId_hyperlink_231" tooltip="https://rotamaguswines.com/product/dom-perignon-1973-7/" display="https://rotamaguswines.com/product/dom-perignon-1973-7/"/>
    <hyperlink ref="J233" r:id="rId_hyperlink_232" tooltip="https://rotamaguswines.com/product/dom-perignon-1973-8/" display="https://rotamaguswines.com/product/dom-perignon-1973-8/"/>
    <hyperlink ref="J234" r:id="rId_hyperlink_233" tooltip="https://rotamaguswines.com/product/dom-perignon-1973-9/" display="https://rotamaguswines.com/product/dom-perignon-1973-9/"/>
    <hyperlink ref="J235" r:id="rId_hyperlink_234" tooltip="https://rotamaguswines.com/product/dom-perignon-1973-10/" display="https://rotamaguswines.com/product/dom-perignon-1973-10/"/>
    <hyperlink ref="J236" r:id="rId_hyperlink_235" tooltip="https://rotamaguswines.com/product/dom-perignon-1975-magnum/" display="https://rotamaguswines.com/product/dom-perignon-1975-magnum/"/>
    <hyperlink ref="J237" r:id="rId_hyperlink_236" tooltip="https://rotamaguswines.com/product/dom-perignon-1976-5/" display="https://rotamaguswines.com/product/dom-perignon-1976-5/"/>
    <hyperlink ref="J238" r:id="rId_hyperlink_237" tooltip="https://rotamaguswines.com/product/dom-perignon-1976-7/" display="https://rotamaguswines.com/product/dom-perignon-1976-7/"/>
    <hyperlink ref="J239" r:id="rId_hyperlink_238" tooltip="https://rotamaguswines.com/product/dom-perignon-1978/" display="https://rotamaguswines.com/product/dom-perignon-1978/"/>
    <hyperlink ref="J240" r:id="rId_hyperlink_239" tooltip="https://rotamaguswines.com/product/dom-perignon-1978-2/" display="https://rotamaguswines.com/product/dom-perignon-1978-2/"/>
    <hyperlink ref="J241" r:id="rId_hyperlink_240" tooltip="https://rotamaguswines.com/product/dom-perignon-1978-3/" display="https://rotamaguswines.com/product/dom-perignon-1978-3/"/>
    <hyperlink ref="J242" r:id="rId_hyperlink_241" tooltip="https://rotamaguswines.com/product/dom-perignon-1978-4/" display="https://rotamaguswines.com/product/dom-perignon-1978-4/"/>
    <hyperlink ref="J243" r:id="rId_hyperlink_242" tooltip="https://rotamaguswines.com/product/dom-perignon-1978-5/" display="https://rotamaguswines.com/product/dom-perignon-1978-5/"/>
    <hyperlink ref="J244" r:id="rId_hyperlink_243" tooltip="https://rotamaguswines.com/product/dom-perignon-1978-6/" display="https://rotamaguswines.com/product/dom-perignon-1978-6/"/>
    <hyperlink ref="J245" r:id="rId_hyperlink_244" tooltip="https://rotamaguswines.com/product/dom-perignon-1978-7/" display="https://rotamaguswines.com/product/dom-perignon-1978-7/"/>
    <hyperlink ref="J246" r:id="rId_hyperlink_245" tooltip="https://rotamaguswines.com/product/dom-perignon-1978-8/" display="https://rotamaguswines.com/product/dom-perignon-1978-8/"/>
    <hyperlink ref="J247" r:id="rId_hyperlink_246" tooltip="https://rotamaguswines.com/product/dom-perignon-1978-9/" display="https://rotamaguswines.com/product/dom-perignon-1978-9/"/>
    <hyperlink ref="J248" r:id="rId_hyperlink_247" tooltip="https://rotamaguswines.com/product/dom-perignon-1978-10/" display="https://rotamaguswines.com/product/dom-perignon-1978-10/"/>
    <hyperlink ref="J249" r:id="rId_hyperlink_248" tooltip="https://rotamaguswines.com/product/dom-perignon-1978-11/" display="https://rotamaguswines.com/product/dom-perignon-1978-11/"/>
    <hyperlink ref="J250" r:id="rId_hyperlink_249" tooltip="https://rotamaguswines.com/product/dom-perignon-1980/" display="https://rotamaguswines.com/product/dom-perignon-1980/"/>
    <hyperlink ref="J251" r:id="rId_hyperlink_250" tooltip="https://rotamaguswines.com/product/dom-perignon-1980-2/" display="https://rotamaguswines.com/product/dom-perignon-1980-2/"/>
    <hyperlink ref="J252" r:id="rId_hyperlink_251" tooltip="https://rotamaguswines.com/product/dom-perignon-1980-3/" display="https://rotamaguswines.com/product/dom-perignon-1980-3/"/>
    <hyperlink ref="J253" r:id="rId_hyperlink_252" tooltip="https://rotamaguswines.com/product/dom-perignon-1980-4/" display="https://rotamaguswines.com/product/dom-perignon-1980-4/"/>
    <hyperlink ref="J254" r:id="rId_hyperlink_253" tooltip="https://rotamaguswines.com/product/dom-perignon-1980-5/" display="https://rotamaguswines.com/product/dom-perignon-1980-5/"/>
    <hyperlink ref="J255" r:id="rId_hyperlink_254" tooltip="https://rotamaguswines.com/product/dom-perignon-1980-6/" display="https://rotamaguswines.com/product/dom-perignon-1980-6/"/>
    <hyperlink ref="J256" r:id="rId_hyperlink_255" tooltip="https://rotamaguswines.com/product/dom-perignon-1980-7/" display="https://rotamaguswines.com/product/dom-perignon-1980-7/"/>
    <hyperlink ref="J257" r:id="rId_hyperlink_256" tooltip="https://rotamaguswines.com/product/dom-perignon-1980-8/" display="https://rotamaguswines.com/product/dom-perignon-1980-8/"/>
    <hyperlink ref="J258" r:id="rId_hyperlink_257" tooltip="https://rotamaguswines.com/product/dom-perignon-1980-9/" display="https://rotamaguswines.com/product/dom-perignon-1980-9/"/>
    <hyperlink ref="J259" r:id="rId_hyperlink_258" tooltip="https://rotamaguswines.com/product/dom-perignon-1980-10/" display="https://rotamaguswines.com/product/dom-perignon-1980-10/"/>
    <hyperlink ref="J260" r:id="rId_hyperlink_259" tooltip="https://rotamaguswines.com/product/dom-perignon-1980-11/" display="https://rotamaguswines.com/product/dom-perignon-1980-11/"/>
    <hyperlink ref="J261" r:id="rId_hyperlink_260" tooltip="https://rotamaguswines.com/product/dom-perignon-1983/" display="https://rotamaguswines.com/product/dom-perignon-1983/"/>
    <hyperlink ref="J262" r:id="rId_hyperlink_261" tooltip="https://rotamaguswines.com/product/dom-perignon-1983-3/" display="https://rotamaguswines.com/product/dom-perignon-1983-3/"/>
    <hyperlink ref="J263" r:id="rId_hyperlink_262" tooltip="https://rotamaguswines.com/product/dom-perignon-1993/" display="https://rotamaguswines.com/product/dom-perignon-1993/"/>
    <hyperlink ref="J264" r:id="rId_hyperlink_263" tooltip="https://rotamaguswines.com/product/perrier-jouet-la-belle-epoque-1973-magnum/" display="https://rotamaguswines.com/product/perrier-jouet-la-belle-epoque-1973-magnum/"/>
    <hyperlink ref="J265" r:id="rId_hyperlink_264" tooltip="https://rotamaguswines.com/product/pol-roger-brut-reserve-1945/" display="https://rotamaguswines.com/product/pol-roger-brut-reserve-1945/"/>
    <hyperlink ref="J266" r:id="rId_hyperlink_265" tooltip="https://rotamaguswines.com/product/taittinger-collection-1978-victor-vasarely/" display="https://rotamaguswines.com/product/taittinger-collection-1978-victor-vasarely/"/>
    <hyperlink ref="J267" r:id="rId_hyperlink_266" tooltip="https://rotamaguswines.com/product/taittinger-collection-1981-arman/" display="https://rotamaguswines.com/product/taittinger-collection-1981-arman/"/>
    <hyperlink ref="J268" r:id="rId_hyperlink_267" tooltip="https://rotamaguswines.com/product/taittinger-collection-1985-roy-lichtenstein/" display="https://rotamaguswines.com/product/taittinger-collection-1985-roy-lichtenstein/"/>
    <hyperlink ref="J269" r:id="rId_hyperlink_268" tooltip="https://rotamaguswines.com/product/taittinger-collection-1985-roy-lichtenstein-2/" display="https://rotamaguswines.com/product/taittinger-collection-1985-roy-lichtenstein-2/"/>
    <hyperlink ref="J270" r:id="rId_hyperlink_269" tooltip="https://rotamaguswines.com/product/taittinger-collection-1985-roy-lichtenstein-3/" display="https://rotamaguswines.com/product/taittinger-collection-1985-roy-lichtenstein-3/"/>
    <hyperlink ref="J271" r:id="rId_hyperlink_270" tooltip="https://rotamaguswines.com/product/taittinger-collection-1985-roy-lichtenstein-4/" display="https://rotamaguswines.com/product/taittinger-collection-1985-roy-lichtenstein-4/"/>
    <hyperlink ref="J272" r:id="rId_hyperlink_271" tooltip="https://rotamaguswines.com/product/taittinger-collection-1992-matta/" display="https://rotamaguswines.com/product/taittinger-collection-1992-matta/"/>
    <hyperlink ref="J273" r:id="rId_hyperlink_272" tooltip="https://rotamaguswines.com/product/taittinger-collection-1992-matta-2/" display="https://rotamaguswines.com/product/taittinger-collection-1992-matta-2/"/>
    <hyperlink ref="J274" r:id="rId_hyperlink_273" tooltip="https://rotamaguswines.com/product/taittinger-collection-1992-matta-3/" display="https://rotamaguswines.com/product/taittinger-collection-1992-matta-3/"/>
    <hyperlink ref="J275" r:id="rId_hyperlink_274" tooltip="https://rotamaguswines.com/product/chateauneuf-du-pape-mont-redon-1971-magnum/" display="https://rotamaguswines.com/product/chateauneuf-du-pape-mont-redon-1971-magnum/"/>
    <hyperlink ref="J276" r:id="rId_hyperlink_275" tooltip="https://rotamaguswines.com/product/hermitage-rouge-jaboulet-la-chapelle-1978-magnum/" display="https://rotamaguswines.com/product/hermitage-rouge-jaboulet-la-chapelle-1978-magnum/"/>
    <hyperlink ref="J277" r:id="rId_hyperlink_276" tooltip="https://rotamaguswines.com/product/hermitage-rouge-jaboulet-la-chapelle-1978-magnum-2/" display="https://rotamaguswines.com/product/hermitage-rouge-jaboulet-la-chapelle-1978-magnum-2/"/>
    <hyperlink ref="J278" r:id="rId_hyperlink_277" tooltip="https://rotamaguswines.com/product/barbaresco-castello-di-nieve-santo-stefano-1971/" display="https://rotamaguswines.com/product/barbaresco-castello-di-nieve-santo-stefano-1971/"/>
    <hyperlink ref="J279" r:id="rId_hyperlink_278" tooltip="https://rotamaguswines.com/product/barbaresco-gaja-1971-3-78l/" display="https://rotamaguswines.com/product/barbaresco-gaja-1971-3-78l/"/>
    <hyperlink ref="J280" r:id="rId_hyperlink_279" tooltip="https://rotamaguswines.com/product/barolo-borgogno-antichi-vigneti-propri-riserva-1947/" display="https://rotamaguswines.com/product/barolo-borgogno-antichi-vigneti-propri-riserva-1947/"/>
    <hyperlink ref="J281" r:id="rId_hyperlink_280" tooltip="https://rotamaguswines.com/product/barolo-borgogno-antichi-vigneti-propri-riserva-1947-2/" display="https://rotamaguswines.com/product/barolo-borgogno-antichi-vigneti-propri-riserva-1947-2/"/>
    <hyperlink ref="J282" r:id="rId_hyperlink_281" tooltip="https://rotamaguswines.com/product/barolo-conterno-giacomo-monfortino-riserva-1941/" display="https://rotamaguswines.com/product/barolo-conterno-giacomo-monfortino-riserva-1941/"/>
    <hyperlink ref="J283" r:id="rId_hyperlink_282" tooltip="https://rotamaguswines.com/product/barolo-conterno-giacomo-monfortino-riserva-1945/" display="https://rotamaguswines.com/product/barolo-conterno-giacomo-monfortino-riserva-1945/"/>
    <hyperlink ref="J284" r:id="rId_hyperlink_283" tooltip="https://rotamaguswines.com/product/barolo-conterno-giacomo-monfortino-riserva-1945-2/" display="https://rotamaguswines.com/product/barolo-conterno-giacomo-monfortino-riserva-1945-2/"/>
    <hyperlink ref="J285" r:id="rId_hyperlink_284" tooltip="https://rotamaguswines.com/product/barolo-conterno-giacomo-monfortino-riserva-1952-129l/" display="https://rotamaguswines.com/product/barolo-conterno-giacomo-monfortino-riserva-1952-129l/"/>
    <hyperlink ref="J286" r:id="rId_hyperlink_285" tooltip="https://rotamaguswines.com/product/barolo-conterno-giacomo-monfortino-riserva-1955-magnum/" display="https://rotamaguswines.com/product/barolo-conterno-giacomo-monfortino-riserva-1955-magnum/"/>
    <hyperlink ref="J287" r:id="rId_hyperlink_286" tooltip="https://rotamaguswines.com/product/barolo-conterno-giacomo-monfortino-riserva-1958/" display="https://rotamaguswines.com/product/barolo-conterno-giacomo-monfortino-riserva-1958/"/>
    <hyperlink ref="J288" r:id="rId_hyperlink_287" tooltip="https://rotamaguswines.com/product/barolo-conterno-giacomo-monfortino-riserva-1958-133l/" display="https://rotamaguswines.com/product/barolo-conterno-giacomo-monfortino-riserva-1958-133l/"/>
    <hyperlink ref="J289" r:id="rId_hyperlink_288" tooltip="https://rotamaguswines.com/product/barolo-conterno-giacomo-monfortino-riserva-1961/" display="https://rotamaguswines.com/product/barolo-conterno-giacomo-monfortino-riserva-1961/"/>
    <hyperlink ref="J290" r:id="rId_hyperlink_289" tooltip="https://rotamaguswines.com/product/barolo-conterno-giacomo-monfortino-riserva-1961-2/" display="https://rotamaguswines.com/product/barolo-conterno-giacomo-monfortino-riserva-1961-2/"/>
    <hyperlink ref="J291" r:id="rId_hyperlink_290" tooltip="https://rotamaguswines.com/product/barolo-conterno-giacomo-monfortino-riserva-1961-3/" display="https://rotamaguswines.com/product/barolo-conterno-giacomo-monfortino-riserva-1961-3/"/>
    <hyperlink ref="J292" r:id="rId_hyperlink_291" tooltip="https://rotamaguswines.com/product/barolo-conterno-giacomo-monfortino-riserva-1961-4/" display="https://rotamaguswines.com/product/barolo-conterno-giacomo-monfortino-riserva-1961-4/"/>
    <hyperlink ref="J293" r:id="rId_hyperlink_292" tooltip="https://rotamaguswines.com/product/barolo-conterno-giacomo-monfortino-riserva-1961-5/" display="https://rotamaguswines.com/product/barolo-conterno-giacomo-monfortino-riserva-1961-5/"/>
    <hyperlink ref="J294" r:id="rId_hyperlink_293" tooltip="https://rotamaguswines.com/product/barolo-conterno-giacomo-monfortino-riserva-1961-6/" display="https://rotamaguswines.com/product/barolo-conterno-giacomo-monfortino-riserva-1961-6/"/>
    <hyperlink ref="J295" r:id="rId_hyperlink_294" tooltip="https://rotamaguswines.com/product/barolo-conterno-giacomo-monfortino-riserva-1961-7/" display="https://rotamaguswines.com/product/barolo-conterno-giacomo-monfortino-riserva-1961-7/"/>
    <hyperlink ref="J296" r:id="rId_hyperlink_295" tooltip="https://rotamaguswines.com/product/barolo-conterno-giacomo-monfortino-riserva-1961-8/" display="https://rotamaguswines.com/product/barolo-conterno-giacomo-monfortino-riserva-1961-8/"/>
    <hyperlink ref="J297" r:id="rId_hyperlink_296" tooltip="https://rotamaguswines.com/product/barolo-conterno-giacomo-monfortino-riserva-1961-9/" display="https://rotamaguswines.com/product/barolo-conterno-giacomo-monfortino-riserva-1961-9/"/>
    <hyperlink ref="J298" r:id="rId_hyperlink_297" tooltip="https://rotamaguswines.com/product/barolo-conterno-giacomo-monfortino-riserva-1961-135l/" display="https://rotamaguswines.com/product/barolo-conterno-giacomo-monfortino-riserva-1961-135l/"/>
    <hyperlink ref="J299" r:id="rId_hyperlink_298" tooltip="https://rotamaguswines.com/product/barolo-giuseppe-mascarello-bussia-soprana-1970-378l/" display="https://rotamaguswines.com/product/barolo-giuseppe-mascarello-bussia-soprana-1970-378l/"/>
    <hyperlink ref="J300" r:id="rId_hyperlink_299" tooltip="https://rotamaguswines.com/product/barolo-giuseppe-mascarello-bussia-soprana-1970-378l-2/" display="https://rotamaguswines.com/product/barolo-giuseppe-mascarello-bussia-soprana-1970-378l-2/"/>
    <hyperlink ref="J301" r:id="rId_hyperlink_300" tooltip="https://rotamaguswines.com/product/barolo-marchesi-di-barolo-gia-opera-pia-1947-gran-riserva/" display="https://rotamaguswines.com/product/barolo-marchesi-di-barolo-gia-opera-pia-1947-gran-riserva/"/>
    <hyperlink ref="J302" r:id="rId_hyperlink_301" tooltip="https://rotamaguswines.com/product/barolo-marchesi-di-barolo-gia-opera-pia-1947-gran-riserva-2/" display="https://rotamaguswines.com/product/barolo-marchesi-di-barolo-gia-opera-pia-1947-gran-riserva-2/"/>
    <hyperlink ref="J303" r:id="rId_hyperlink_302" tooltip="https://rotamaguswines.com/product/barolo-marchesi-di-barolo-gia-opera-pia-1947-gran-riserva-3/" display="https://rotamaguswines.com/product/barolo-marchesi-di-barolo-gia-opera-pia-1947-gran-riserva-3/"/>
    <hyperlink ref="J304" r:id="rId_hyperlink_303" tooltip="https://rotamaguswines.com/product/barolo-marchesi-di-barolo-gia-opera-pia-1947-gran-riserva-4/" display="https://rotamaguswines.com/product/barolo-marchesi-di-barolo-gia-opera-pia-1947-gran-riserva-4/"/>
    <hyperlink ref="J305" r:id="rId_hyperlink_304" tooltip="https://rotamaguswines.com/product/barolo-marchesi-di-barolo-gia-opera-pia-1947-gran-riserva-5/" display="https://rotamaguswines.com/product/barolo-marchesi-di-barolo-gia-opera-pia-1947-gran-riserva-5/"/>
    <hyperlink ref="J306" r:id="rId_hyperlink_305" tooltip="https://rotamaguswines.com/product/barolo-marchesi-di-barolo-gia-opera-pia-1947-gran-riserva-6/" display="https://rotamaguswines.com/product/barolo-marchesi-di-barolo-gia-opera-pia-1947-gran-riserva-6/"/>
    <hyperlink ref="J307" r:id="rId_hyperlink_306" tooltip="https://rotamaguswines.com/product/barolo-marchesi-di-barolo-gia-opera-pia-1952/" display="https://rotamaguswines.com/product/barolo-marchesi-di-barolo-gia-opera-pia-1952/"/>
    <hyperlink ref="J308" r:id="rId_hyperlink_307" tooltip="https://rotamaguswines.com/product/barolo-marchesi-di-barolo-gia-opera-pia-1957/" display="https://rotamaguswines.com/product/barolo-marchesi-di-barolo-gia-opera-pia-1957/"/>
    <hyperlink ref="J309" r:id="rId_hyperlink_308" tooltip="https://rotamaguswines.com/product/barolo-mascarello-bartolo-1958-magnum-cannubi/" display="https://rotamaguswines.com/product/barolo-mascarello-bartolo-1958-magnum-cannubi/"/>
    <hyperlink ref="J310" r:id="rId_hyperlink_309" tooltip="https://rotamaguswines.com/product/barolo-mascarello-bartolo-1964-magnum/" display="https://rotamaguswines.com/product/barolo-mascarello-bartolo-1964-magnum/"/>
    <hyperlink ref="J311" r:id="rId_hyperlink_310" tooltip="https://rotamaguswines.com/product/barolo-mascarello-bartolo-1967/" display="https://rotamaguswines.com/product/barolo-mascarello-bartolo-1967/"/>
    <hyperlink ref="J312" r:id="rId_hyperlink_311" tooltip="https://rotamaguswines.com/product/barolo-mascarello-bartolo-1967-2/" display="https://rotamaguswines.com/product/barolo-mascarello-bartolo-1967-2/"/>
    <hyperlink ref="J313" r:id="rId_hyperlink_312" tooltip="https://rotamaguswines.com/product/barolo-mascarello-bartolo-1967-3/" display="https://rotamaguswines.com/product/barolo-mascarello-bartolo-1967-3/"/>
    <hyperlink ref="J314" r:id="rId_hyperlink_313" tooltip="https://rotamaguswines.com/product/barolo-mascarello-bartolo-1967-4/" display="https://rotamaguswines.com/product/barolo-mascarello-bartolo-1967-4/"/>
    <hyperlink ref="J315" r:id="rId_hyperlink_314" tooltip="https://rotamaguswines.com/product/barolo-mascarello-bartolo-1967-5/" display="https://rotamaguswines.com/product/barolo-mascarello-bartolo-1967-5/"/>
    <hyperlink ref="J316" r:id="rId_hyperlink_315" tooltip="https://rotamaguswines.com/product/barolo-mascarello-bartolo-1967-6/" display="https://rotamaguswines.com/product/barolo-mascarello-bartolo-1967-6/"/>
    <hyperlink ref="J317" r:id="rId_hyperlink_316" tooltip="https://rotamaguswines.com/product/barolo-mascarello-bartolo-1967-7/" display="https://rotamaguswines.com/product/barolo-mascarello-bartolo-1967-7/"/>
    <hyperlink ref="J318" r:id="rId_hyperlink_317" tooltip="https://rotamaguswines.com/product/barolo-mascarello-bartolo-1967-8/" display="https://rotamaguswines.com/product/barolo-mascarello-bartolo-1967-8/"/>
    <hyperlink ref="J319" r:id="rId_hyperlink_318" tooltip="https://rotamaguswines.com/product/barolo-mascarello-bartolo-1967-9/" display="https://rotamaguswines.com/product/barolo-mascarello-bartolo-1967-9/"/>
    <hyperlink ref="J320" r:id="rId_hyperlink_319" tooltip="https://rotamaguswines.com/product/barolo-mascarello-bartolo-1967-10/" display="https://rotamaguswines.com/product/barolo-mascarello-bartolo-1967-10/"/>
    <hyperlink ref="J321" r:id="rId_hyperlink_320" tooltip="https://rotamaguswines.com/product/barolo-mascarello-bartolo-1967-11/" display="https://rotamaguswines.com/product/barolo-mascarello-bartolo-1967-11/"/>
    <hyperlink ref="J322" r:id="rId_hyperlink_321" tooltip="https://rotamaguswines.com/product/barolo-mascarello-bartolo-1968/" display="https://rotamaguswines.com/product/barolo-mascarello-bartolo-1968/"/>
    <hyperlink ref="J323" r:id="rId_hyperlink_322" tooltip="https://rotamaguswines.com/product/barolo-mascarello-bartolo-1971/" display="https://rotamaguswines.com/product/barolo-mascarello-bartolo-1971/"/>
    <hyperlink ref="J324" r:id="rId_hyperlink_323" tooltip="https://rotamaguswines.com/product/barolo-mascarello-bartolo-1989/" display="https://rotamaguswines.com/product/barolo-mascarello-bartolo-1989/"/>
    <hyperlink ref="J325" r:id="rId_hyperlink_324" tooltip="https://rotamaguswines.com/product/barolo-mascarello-bartolo-1989-2/" display="https://rotamaguswines.com/product/barolo-mascarello-bartolo-1989-2/"/>
    <hyperlink ref="J326" r:id="rId_hyperlink_325" tooltip="https://rotamaguswines.com/product/barolo-mascarello-giuilio-cantina-cannubi-1971/" display="https://rotamaguswines.com/product/barolo-mascarello-giuilio-cantina-cannubi-1971/"/>
    <hyperlink ref="J327" r:id="rId_hyperlink_326" tooltip="https://rotamaguswines.com/product/michele-mascarello-figli-la-morra-barolo-classico-1958-700ml/" display="https://rotamaguswines.com/product/michele-mascarello-figli-la-morra-barolo-classico-1958-700ml/"/>
    <hyperlink ref="J328" r:id="rId_hyperlink_327" tooltip="https://rotamaguswines.com/product/grappa-romano-levi/" display="https://rotamaguswines.com/product/grappa-romano-levi/"/>
    <hyperlink ref="J329" r:id="rId_hyperlink_328" tooltip="https://rotamaguswines.com/product/grappa-romano-levi-5-stella/" display="https://rotamaguswines.com/product/grappa-romano-levi-5-stella/"/>
    <hyperlink ref="J330" r:id="rId_hyperlink_329" tooltip="https://rotamaguswines.com/product/grappa-romano-levi-5-stella-2/" display="https://rotamaguswines.com/product/grappa-romano-levi-5-stella-2/"/>
    <hyperlink ref="J331" r:id="rId_hyperlink_330" tooltip="https://rotamaguswines.com/product/grappa-romano-levi-basilico-e-lemone-gradi-52/" display="https://rotamaguswines.com/product/grappa-romano-levi-basilico-e-lemone-gradi-52/"/>
    <hyperlink ref="J332" r:id="rId_hyperlink_331" tooltip="https://rotamaguswines.com/product/grappa-romano-levi-deice-fiori/" display="https://rotamaguswines.com/product/grappa-romano-levi-deice-fiori/"/>
    <hyperlink ref="J333" r:id="rId_hyperlink_332" tooltip="https://rotamaguswines.com/product/grappa-romano-levi-frame/" display="https://rotamaguswines.com/product/grappa-romano-levi-frame/"/>
    <hyperlink ref="J334" r:id="rId_hyperlink_333" tooltip="https://rotamaguswines.com/product/grappa-romano-levi-nove-fiori/" display="https://rotamaguswines.com/product/grappa-romano-levi-nove-fiori/"/>
    <hyperlink ref="J335" r:id="rId_hyperlink_334" tooltip="https://rotamaguswines.com/product/grappa-romano-levi-originale-galletto-gradi-51/" display="https://rotamaguswines.com/product/grappa-romano-levi-originale-galletto-gradi-51/"/>
    <hyperlink ref="J336" r:id="rId_hyperlink_335" tooltip="https://rotamaguswines.com/product/grappa-romano-levi-originale-galletto-gradi-51-2/" display="https://rotamaguswines.com/product/grappa-romano-levi-originale-galletto-gradi-51-2/"/>
    <hyperlink ref="J337" r:id="rId_hyperlink_336" tooltip="https://rotamaguswines.com/product/grappa-romano-levi-salvia-cimo-e-camomilla-gradi-51/" display="https://rotamaguswines.com/product/grappa-romano-levi-salvia-cimo-e-camomilla-gradi-51/"/>
    <hyperlink ref="J338" r:id="rId_hyperlink_337" tooltip="https://rotamaguswines.com/product/brunello-di-montalcino-case-basse-gianfranco-soldera-1985/" display="https://rotamaguswines.com/product/brunello-di-montalcino-case-basse-gianfranco-soldera-1985/"/>
    <hyperlink ref="J339" r:id="rId_hyperlink_338" tooltip="https://rotamaguswines.com/product/caroni-cask-15-years-2000-cask-nr3790-one-of-214-bottled-2015-paul-ullrich-ag/" display="https://rotamaguswines.com/product/caroni-cask-15-years-2000-cask-nr3790-one-of-214-bottled-2015-paul-ullrich-ag/"/>
    <hyperlink ref="J340" r:id="rId_hyperlink_339" tooltip="https://rotamaguswines.com/product/caroni-cask-20-years-1996-cask-nr3718-one-of-270-bottled-2016-stefano-cremaschi/" display="https://rotamaguswines.com/product/caroni-cask-20-years-1996-cask-nr3718-one-of-270-bottled-2016-stefano-cremaschi/"/>
    <hyperlink ref="J341" r:id="rId_hyperlink_340" tooltip="https://rotamaguswines.com/product/caroni-cask-20-years-1996-single-cask-nr3721-one-of-250-bottled-2016-old-whisky-fire/" display="https://rotamaguswines.com/product/caroni-cask-20-years-1996-single-cask-nr3721-one-of-250-bottled-2016-old-whisky-fire/"/>
    <hyperlink ref="J342" r:id="rId_hyperlink_341" tooltip="https://rotamaguswines.com/product/cvne-vina-real-reserva-especial-1951-demie/" display="https://rotamaguswines.com/product/cvne-vina-real-reserva-especial-1951-demie/"/>
    <hyperlink ref="J343" r:id="rId_hyperlink_342" tooltip="https://rotamaguswines.com/product/cvne-vina-real-reserva-especial-1951-demie-2/" display="https://rotamaguswines.com/product/cvne-vina-real-reserva-especial-1951-demie-2/"/>
    <hyperlink ref="J344" r:id="rId_hyperlink_343" tooltip="https://rotamaguswines.com/product/cvne-vina-real-reserva-especial-1951-demie-3/" display="https://rotamaguswines.com/product/cvne-vina-real-reserva-especial-1951-demie-3/"/>
    <hyperlink ref="J345" r:id="rId_hyperlink_344" tooltip="https://rotamaguswines.com/product/cvne-vina-real-reserva-especial-1951-demie-4/" display="https://rotamaguswines.com/product/cvne-vina-real-reserva-especial-1951-demie-4/"/>
    <hyperlink ref="J346" r:id="rId_hyperlink_345" tooltip="https://rotamaguswines.com/product/cvne-vina-real-reserva-especial-1952/" display="https://rotamaguswines.com/product/cvne-vina-real-reserva-especial-1952/"/>
    <hyperlink ref="J347" r:id="rId_hyperlink_346" tooltip="https://rotamaguswines.com/product/r-lopez-de-heredia-vina-tondonia-gran-reserva-1942/" display="https://rotamaguswines.com/product/r-lopez-de-heredia-vina-tondonia-gran-reserva-1942/"/>
    <hyperlink ref="J348" r:id="rId_hyperlink_347" tooltip="https://rotamaguswines.com/product/vega-sicilia-unico-1941/" display="https://rotamaguswines.com/product/vega-sicilia-unico-1941/"/>
    <hyperlink ref="J349" r:id="rId_hyperlink_348" tooltip="https://rotamaguswines.com/product/vega-sicilia-unico-1941-2/" display="https://rotamaguswines.com/product/vega-sicilia-unico-1941-2/"/>
    <hyperlink ref="J350" r:id="rId_hyperlink_349" tooltip="https://rotamaguswines.com/product/vega-sicilia-unico-1947/" display="https://rotamaguswines.com/product/vega-sicilia-unico-1947/"/>
    <hyperlink ref="J351" r:id="rId_hyperlink_350" tooltip="https://rotamaguswines.com/product/vega-sicilia-unico-1947-2/" display="https://rotamaguswines.com/product/vega-sicilia-unico-1947-2/"/>
    <hyperlink ref="J352" r:id="rId_hyperlink_351" tooltip="https://rotamaguswines.com/product/vega-sicilia-unico-1947-3/" display="https://rotamaguswines.com/product/vega-sicilia-unico-1947-3/"/>
    <hyperlink ref="J353" r:id="rId_hyperlink_352" tooltip="https://rotamaguswines.com/product/vega-sicilia-unico-1953/" display="https://rotamaguswines.com/product/vega-sicilia-unico-1953/"/>
    <hyperlink ref="J354" r:id="rId_hyperlink_353" tooltip="https://rotamaguswines.com/product/vega-sicilia-unico-1953-2/" display="https://rotamaguswines.com/product/vega-sicilia-unico-1953-2/"/>
    <hyperlink ref="J355" r:id="rId_hyperlink_354" tooltip="https://rotamaguswines.com/product/vega-sicilia-unico-1953-3/" display="https://rotamaguswines.com/product/vega-sicilia-unico-1953-3/"/>
    <hyperlink ref="J356" r:id="rId_hyperlink_355" tooltip="https://rotamaguswines.com/product/vega-sicilia-unico-1953-4/" display="https://rotamaguswines.com/product/vega-sicilia-unico-1953-4/"/>
    <hyperlink ref="J357" r:id="rId_hyperlink_356" tooltip="https://rotamaguswines.com/product/vega-sicilia-unico-1953-5/" display="https://rotamaguswines.com/product/vega-sicilia-unico-1953-5/"/>
    <hyperlink ref="J358" r:id="rId_hyperlink_357" tooltip="https://rotamaguswines.com/product/vega-sicilia-unico-1953-6/" display="https://rotamaguswines.com/product/vega-sicilia-unico-1953-6/"/>
    <hyperlink ref="J359" r:id="rId_hyperlink_358" tooltip="https://rotamaguswines.com/product/vega-sicilia-unico-1959/" display="https://rotamaguswines.com/product/vega-sicilia-unico-1959/"/>
    <hyperlink ref="J360" r:id="rId_hyperlink_359" tooltip="https://rotamaguswines.com/product/vega-sicilia-unico-1960-magnum/" display="https://rotamaguswines.com/product/vega-sicilia-unico-1960-magnum/"/>
    <hyperlink ref="J361" r:id="rId_hyperlink_360" tooltip="https://rotamaguswines.com/product/vega-sicilia-unico-1962/" display="https://rotamaguswines.com/product/vega-sicilia-unico-1962/"/>
    <hyperlink ref="J362" r:id="rId_hyperlink_361" tooltip="https://rotamaguswines.com/product/vega-sicilia-unico-1962-2/" display="https://rotamaguswines.com/product/vega-sicilia-unico-1962-2/"/>
    <hyperlink ref="J363" r:id="rId_hyperlink_362" tooltip="https://rotamaguswines.com/product/vega-sicilia-unico-1962-3/" display="https://rotamaguswines.com/product/vega-sicilia-unico-1962-3/"/>
    <hyperlink ref="J364" r:id="rId_hyperlink_363" tooltip="https://rotamaguswines.com/product/vega-sicilia-unico-1962-magnum/" display="https://rotamaguswines.com/product/vega-sicilia-unico-1962-magnum/"/>
    <hyperlink ref="J365" r:id="rId_hyperlink_364" tooltip="https://rotamaguswines.com/product/vega-sicilia-unico-1964/" display="https://rotamaguswines.com/product/vega-sicilia-unico-1964/"/>
    <hyperlink ref="J366" r:id="rId_hyperlink_365" tooltip="https://rotamaguswines.com/product/vega-sicilia-unico-1964-2/" display="https://rotamaguswines.com/product/vega-sicilia-unico-1964-2/"/>
    <hyperlink ref="J367" r:id="rId_hyperlink_366" tooltip="https://rotamaguswines.com/product/vega-sicilia-unico-1964-3/" display="https://rotamaguswines.com/product/vega-sicilia-unico-1964-3/"/>
    <hyperlink ref="J368" r:id="rId_hyperlink_367" tooltip="https://rotamaguswines.com/product/vega-sicilia-unico-1964-4/" display="https://rotamaguswines.com/product/vega-sicilia-unico-1964-4/"/>
    <hyperlink ref="J369" r:id="rId_hyperlink_368" tooltip="https://rotamaguswines.com/product/vega-sicilia-unico-1964-5/" display="https://rotamaguswines.com/product/vega-sicilia-unico-1964-5/"/>
    <hyperlink ref="J370" r:id="rId_hyperlink_369" tooltip="https://rotamaguswines.com/product/vega-sicilia-unico-1964-6/" display="https://rotamaguswines.com/product/vega-sicilia-unico-1964-6/"/>
    <hyperlink ref="J371" r:id="rId_hyperlink_370" tooltip="https://rotamaguswines.com/product/vega-sicilia-unico-1966/" display="https://rotamaguswines.com/product/vega-sicilia-unico-1966/"/>
    <hyperlink ref="J372" r:id="rId_hyperlink_371" tooltip="https://rotamaguswines.com/product/vega-sicilia-unico-1968/" display="https://rotamaguswines.com/product/vega-sicilia-unico-1968/"/>
    <hyperlink ref="J373" r:id="rId_hyperlink_372" tooltip="https://rotamaguswines.com/product/vega-sicilia-unico-1968-magnum/" display="https://rotamaguswines.com/product/vega-sicilia-unico-1968-magnum/"/>
    <hyperlink ref="J374" r:id="rId_hyperlink_373" tooltip="https://rotamaguswines.com/product/vega-sicilia-unico-1970-magnum/" display="https://rotamaguswines.com/product/vega-sicilia-unico-1970-magnum/"/>
    <hyperlink ref="J375" r:id="rId_hyperlink_374" tooltip="https://rotamaguswines.com/product/vega-sicilia-unico-1972-magnum/" display="https://rotamaguswines.com/product/vega-sicilia-unico-1972-magnum/"/>
    <hyperlink ref="J376" r:id="rId_hyperlink_375" tooltip="https://rotamaguswines.com/product/vega-sicilia-unico-1972-magnum-2/" display="https://rotamaguswines.com/product/vega-sicilia-unico-1972-magnum-2/"/>
    <hyperlink ref="J377" r:id="rId_hyperlink_376" tooltip="https://rotamaguswines.com/product/vega-sicilia-unico-1974/" display="https://rotamaguswines.com/product/vega-sicilia-unico-1974/"/>
    <hyperlink ref="J378" r:id="rId_hyperlink_377" tooltip="https://rotamaguswines.com/product/vega-sicilia-unico-1974-2/" display="https://rotamaguswines.com/product/vega-sicilia-unico-1974-2/"/>
    <hyperlink ref="J379" r:id="rId_hyperlink_378" tooltip="https://rotamaguswines.com/product/vega-sicilia-unico-1975-magnum/" display="https://rotamaguswines.com/product/vega-sicilia-unico-1975-magnum/"/>
    <hyperlink ref="J380" r:id="rId_hyperlink_379" tooltip="https://rotamaguswines.com/product/vega-sicilia-unico-1976-magnum/" display="https://rotamaguswines.com/product/vega-sicilia-unico-1976-magnum/"/>
    <hyperlink ref="J381" r:id="rId_hyperlink_380" tooltip="https://rotamaguswines.com/product/vega-sicilia-unico-1979-magnum/" display="https://rotamaguswines.com/product/vega-sicilia-unico-1979-magnum/"/>
    <hyperlink ref="J382" r:id="rId_hyperlink_381" tooltip="https://rotamaguswines.com/product/vega-sicilia-unico-1980-magnum/" display="https://rotamaguswines.com/product/vega-sicilia-unico-1980-magnum/"/>
    <hyperlink ref="J383" r:id="rId_hyperlink_382" tooltip="https://rotamaguswines.com/product/vega-sicilia-unico-1981-magnum/" display="https://rotamaguswines.com/product/vega-sicilia-unico-1981-magnum/"/>
    <hyperlink ref="J384" r:id="rId_hyperlink_383" tooltip="https://rotamaguswines.com/product/vega-sicilia-unico-1982-magnum/" display="https://rotamaguswines.com/product/vega-sicilia-unico-1982-magnum/"/>
    <hyperlink ref="J385" r:id="rId_hyperlink_384" tooltip="https://rotamaguswines.com/product/vega-sicilia-unico-1983/" display="https://rotamaguswines.com/product/vega-sicilia-unico-1983/"/>
    <hyperlink ref="J386" r:id="rId_hyperlink_385" tooltip="https://rotamaguswines.com/product/vega-sicilia-unico-1985-double-magnum/" display="https://rotamaguswines.com/product/vega-sicilia-unico-1985-double-magnum/"/>
    <hyperlink ref="J387" r:id="rId_hyperlink_386" tooltip="https://rotamaguswines.com/product/vega-sicilia-unico-1985-magnum/" display="https://rotamaguswines.com/product/vega-sicilia-unico-1985-magnum/"/>
    <hyperlink ref="J388" r:id="rId_hyperlink_387" tooltip="https://rotamaguswines.com/product/vega-sicilia-unico-1986/" display="https://rotamaguswines.com/product/vega-sicilia-unico-1986/"/>
    <hyperlink ref="J389" r:id="rId_hyperlink_388" tooltip="https://rotamaguswines.com/product/vega-sicilia-unico-1986-magnum/" display="https://rotamaguswines.com/product/vega-sicilia-unico-1986-magnum/"/>
    <hyperlink ref="J390" r:id="rId_hyperlink_389" tooltip="https://rotamaguswines.com/product/vega-sicilia-unico-1987-magnum/" display="https://rotamaguswines.com/product/vega-sicilia-unico-1987-magnum/"/>
    <hyperlink ref="J391" r:id="rId_hyperlink_390" tooltip="https://rotamaguswines.com/product/vega-sicilia-unico-1989-magnum/" display="https://rotamaguswines.com/product/vega-sicilia-unico-1989-magnum/"/>
    <hyperlink ref="J392" r:id="rId_hyperlink_391" tooltip="https://rotamaguswines.com/product/vega-sicilia-unico-1999-magnum/" display="https://rotamaguswines.com/product/vega-sicilia-unico-1999-magnum/"/>
    <hyperlink ref="J393" r:id="rId_hyperlink_392" tooltip="https://rotamaguswines.com/product/vega-sicilia-unico-2000-magnum/" display="https://rotamaguswines.com/product/vega-sicilia-unico-2000-magnum/"/>
    <hyperlink ref="J394" r:id="rId_hyperlink_393" tooltip="https://rotamaguswines.com/product/vega-sicilia-unico-2002-magnum/" display="https://rotamaguswines.com/product/vega-sicilia-unico-2002-magnum/"/>
    <hyperlink ref="J395" r:id="rId_hyperlink_394" tooltip="https://rotamaguswines.com/product/ygay-riserva-especial-1925/" display="https://rotamaguswines.com/product/ygay-riserva-especial-1925/"/>
    <hyperlink ref="J396" r:id="rId_hyperlink_395" tooltip="https://rotamaguswines.com/product/whisky-campbeltown-single-malt-longrown-25-years-old-1974/" display="https://rotamaguswines.com/product/whisky-campbeltown-single-malt-longrown-25-years-old-1974/"/>
    <hyperlink ref="J397" r:id="rId_hyperlink_396" tooltip="https://rotamaguswines.com/product/whisky-glen-albyn-10-years-old-60s-70s/" display="https://rotamaguswines.com/product/whisky-glen-albyn-10-years-old-60s-70s/"/>
    <hyperlink ref="J398" r:id="rId_hyperlink_397" tooltip="https://rotamaguswines.com/product/whiskey-weller-and-sons-kentucky-straight-bourbon-original-107/" display="https://rotamaguswines.com/product/whiskey-weller-and-sons-kentucky-straight-bourbon-original-107/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Rotamagus Wines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2026-03-19T19:57:45+00:00</dcterms:created>
  <dcterms:modified xsi:type="dcterms:W3CDTF">2026-03-19T19:57:45+00:00</dcterms:modified>
  <dc:title>Untitled Spreadsheet</dc:title>
  <dc:description/>
  <dc:subject/>
  <cp:keywords/>
  <cp:category/>
</cp:coreProperties>
</file>